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265" windowWidth="15135" windowHeight="519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 name="Holding" sheetId="14" r:id="rId11"/>
    <sheet name="Bloomberg" sheetId="15" r:id="rId12"/>
  </sheets>
  <externalReferences>
    <externalReference r:id="rId13"/>
    <externalReference r:id="rId14"/>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11" hidden="1">Bloomberg!$A$1:$I$16</definedName>
    <definedName name="_xlnm._FilterDatabase" localSheetId="10" hidden="1">Holding!$A$3:$WWU$193</definedName>
    <definedName name="_xlnm._FilterDatabase" localSheetId="3" hidden="1">QDBF!$A$18:$H$22</definedName>
    <definedName name="_xlnm._FilterDatabase" localSheetId="7" hidden="1">QEFOF!$A$15:$G$22</definedName>
    <definedName name="_xlnm._FilterDatabase" localSheetId="5" hidden="1">QIF!$A$17:$N$68</definedName>
    <definedName name="_xlnm._FilterDatabase" localSheetId="2" hidden="1">QLF!$A$33:$H$33</definedName>
    <definedName name="_xlnm._FilterDatabase" localSheetId="1" hidden="1">QLTEF!$A$17:$I$41</definedName>
    <definedName name="_xlnm._FilterDatabase" localSheetId="9" hidden="1">QMAF!$A$23:$G$25</definedName>
    <definedName name="_xlnm._FilterDatabase" localSheetId="6" hidden="1">QTSF!$A$17:$H$41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QGF!$B$1:$F$51</definedName>
    <definedName name="_xlnm.Print_Area" localSheetId="2">QLF!$B$1:$H$76</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QGF!$E$12:$F$27</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QGF!$E$12:$F$27</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QGF!$E$12:$F$27</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44525"/>
</workbook>
</file>

<file path=xl/calcChain.xml><?xml version="1.0" encoding="utf-8"?>
<calcChain xmlns="http://schemas.openxmlformats.org/spreadsheetml/2006/main">
  <c r="C60" i="11" l="1"/>
  <c r="C79" i="8" l="1"/>
  <c r="C49" i="10" l="1"/>
  <c r="D52" i="11"/>
  <c r="D48" i="4" l="1"/>
  <c r="D47" i="4"/>
  <c r="C105" i="6"/>
  <c r="C73" i="9"/>
  <c r="C85" i="7"/>
  <c r="A19" i="13"/>
  <c r="A188" i="14" l="1"/>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S141" i="14"/>
  <c r="S140" i="14"/>
  <c r="A29" i="9" l="1"/>
  <c r="A36" i="9" l="1"/>
  <c r="A34" i="9"/>
  <c r="A22" i="13" l="1"/>
  <c r="C66" i="13"/>
  <c r="A192" i="14" l="1"/>
  <c r="A191" i="14"/>
  <c r="A190" i="14"/>
  <c r="A189" i="14"/>
  <c r="A4" i="14"/>
  <c r="G19" i="13" l="1"/>
  <c r="F19" i="13"/>
  <c r="C19" i="13"/>
  <c r="C34" i="9"/>
  <c r="G29" i="9"/>
  <c r="C36" i="9" l="1"/>
  <c r="C29" i="9"/>
  <c r="G36" i="9"/>
  <c r="F34" i="9"/>
  <c r="F36" i="9"/>
  <c r="G34" i="9"/>
  <c r="C22" i="13"/>
  <c r="G22" i="13"/>
  <c r="F22" i="13"/>
  <c r="G61" i="7"/>
  <c r="A20" i="13" l="1"/>
  <c r="A38" i="9"/>
  <c r="C38" i="9" s="1"/>
  <c r="A35" i="9"/>
  <c r="A37" i="9"/>
  <c r="C37" i="9" s="1"/>
  <c r="C35" i="9" l="1"/>
  <c r="A32" i="13"/>
  <c r="C32" i="13" s="1"/>
  <c r="G35" i="9" l="1"/>
  <c r="F37" i="9"/>
  <c r="G20" i="13"/>
  <c r="G38" i="9"/>
  <c r="G37" i="9"/>
  <c r="F20" i="13"/>
  <c r="C20" i="13"/>
  <c r="F35" i="9"/>
  <c r="F38" i="9"/>
  <c r="F29" i="10"/>
  <c r="G56" i="8"/>
  <c r="E29" i="5"/>
  <c r="E34" i="5"/>
  <c r="F40" i="4"/>
  <c r="F40" i="11"/>
  <c r="F34" i="10"/>
  <c r="G61" i="8"/>
  <c r="G89" i="6"/>
  <c r="F45" i="11"/>
  <c r="F16" i="10"/>
  <c r="F35" i="4"/>
  <c r="E16" i="10"/>
  <c r="G36" i="13"/>
  <c r="G43" i="13"/>
  <c r="H19" i="13" s="1"/>
  <c r="F32" i="13"/>
  <c r="G32" i="13"/>
  <c r="G42" i="9"/>
  <c r="G49" i="9"/>
  <c r="G68" i="7"/>
  <c r="H29" i="9" l="1"/>
  <c r="H36" i="9"/>
  <c r="H34" i="9"/>
  <c r="H22" i="13"/>
  <c r="H20" i="13"/>
  <c r="H35" i="9"/>
  <c r="H38" i="9"/>
  <c r="H37" i="9"/>
  <c r="H32" i="13"/>
  <c r="D55" i="9"/>
  <c r="C66" i="9" l="1"/>
  <c r="A21" i="13" l="1"/>
  <c r="A57" i="7" l="1"/>
  <c r="C57" i="7" s="1"/>
  <c r="G57" i="7" l="1"/>
  <c r="F57" i="7"/>
  <c r="A18" i="8"/>
  <c r="C18" i="8" l="1"/>
  <c r="E18" i="8"/>
  <c r="F18" i="8"/>
  <c r="G18" i="8"/>
  <c r="C56" i="11" l="1"/>
  <c r="C55" i="11"/>
  <c r="C54" i="11"/>
  <c r="D51" i="11"/>
  <c r="C49" i="11"/>
  <c r="A24" i="11"/>
  <c r="A25" i="11"/>
  <c r="A18" i="11"/>
  <c r="A16" i="11"/>
  <c r="A17" i="11"/>
  <c r="B10" i="11"/>
  <c r="C44" i="10"/>
  <c r="C43" i="10"/>
  <c r="C42" i="10"/>
  <c r="D41" i="10"/>
  <c r="D40" i="10"/>
  <c r="C38" i="10"/>
  <c r="B10" i="10"/>
  <c r="C56" i="4"/>
  <c r="C52" i="4"/>
  <c r="C51" i="4"/>
  <c r="C50" i="4"/>
  <c r="D46" i="4"/>
  <c r="C44" i="4"/>
  <c r="A18" i="4"/>
  <c r="A21" i="4"/>
  <c r="A22" i="4"/>
  <c r="A20" i="4"/>
  <c r="A17" i="4"/>
  <c r="A16" i="4"/>
  <c r="A19" i="4"/>
  <c r="B10" i="4"/>
  <c r="C74" i="8"/>
  <c r="C73" i="8"/>
  <c r="C72" i="8"/>
  <c r="D70" i="8"/>
  <c r="D69" i="8"/>
  <c r="D68" i="8"/>
  <c r="C65" i="8"/>
  <c r="A36" i="8"/>
  <c r="C36" i="8" s="1"/>
  <c r="A27" i="8"/>
  <c r="C27" i="8" s="1"/>
  <c r="A21" i="8"/>
  <c r="C21" i="8" s="1"/>
  <c r="A41" i="8"/>
  <c r="C41" i="8" s="1"/>
  <c r="A30" i="8"/>
  <c r="C30" i="8" s="1"/>
  <c r="A26" i="8"/>
  <c r="C26" i="8" s="1"/>
  <c r="A40" i="8"/>
  <c r="C40" i="8" s="1"/>
  <c r="A32" i="8"/>
  <c r="C32" i="8" s="1"/>
  <c r="A35" i="8"/>
  <c r="C35" i="8" s="1"/>
  <c r="A23" i="8"/>
  <c r="C23" i="8" s="1"/>
  <c r="A24" i="8"/>
  <c r="C24" i="8" s="1"/>
  <c r="A25" i="8"/>
  <c r="C25" i="8" s="1"/>
  <c r="A19" i="8"/>
  <c r="C19" i="8" s="1"/>
  <c r="A31" i="8"/>
  <c r="C31" i="8" s="1"/>
  <c r="A39" i="8"/>
  <c r="C39" i="8" s="1"/>
  <c r="A20" i="8"/>
  <c r="C20" i="8" s="1"/>
  <c r="A29" i="8"/>
  <c r="C29" i="8" s="1"/>
  <c r="A33" i="8"/>
  <c r="C33" i="8" s="1"/>
  <c r="A38" i="8"/>
  <c r="C38" i="8" s="1"/>
  <c r="A28" i="8"/>
  <c r="C28" i="8" s="1"/>
  <c r="A37" i="8"/>
  <c r="C37" i="8" s="1"/>
  <c r="A34" i="8"/>
  <c r="C34" i="8" s="1"/>
  <c r="A22" i="8"/>
  <c r="C22" i="8" s="1"/>
  <c r="B18" i="8"/>
  <c r="B10" i="8"/>
  <c r="C100" i="6"/>
  <c r="C99" i="6"/>
  <c r="C98" i="6"/>
  <c r="D97" i="6"/>
  <c r="D96" i="6"/>
  <c r="C93" i="6"/>
  <c r="A50" i="6"/>
  <c r="C50" i="6" s="1"/>
  <c r="A26" i="6"/>
  <c r="C26" i="6" s="1"/>
  <c r="A44" i="6"/>
  <c r="C44" i="6" s="1"/>
  <c r="A32" i="6"/>
  <c r="C32" i="6" s="1"/>
  <c r="A46" i="6"/>
  <c r="C46" i="6" s="1"/>
  <c r="A58" i="6"/>
  <c r="C58" i="6" s="1"/>
  <c r="A34" i="6"/>
  <c r="C34" i="6" s="1"/>
  <c r="A27" i="6"/>
  <c r="C27" i="6" s="1"/>
  <c r="A36" i="6"/>
  <c r="C36" i="6" s="1"/>
  <c r="A64" i="6"/>
  <c r="C64" i="6" s="1"/>
  <c r="A42" i="6"/>
  <c r="C42" i="6" s="1"/>
  <c r="A37" i="6"/>
  <c r="C37" i="6" s="1"/>
  <c r="A33" i="6"/>
  <c r="C33" i="6" s="1"/>
  <c r="A57" i="6"/>
  <c r="C57" i="6" s="1"/>
  <c r="A38" i="6"/>
  <c r="C38" i="6" s="1"/>
  <c r="A65" i="6"/>
  <c r="C65" i="6" s="1"/>
  <c r="A18" i="6"/>
  <c r="C18" i="6" s="1"/>
  <c r="A47" i="6"/>
  <c r="C47" i="6" s="1"/>
  <c r="A48" i="6"/>
  <c r="C48" i="6" s="1"/>
  <c r="A53" i="6"/>
  <c r="C53" i="6" s="1"/>
  <c r="A40" i="6"/>
  <c r="C40" i="6" s="1"/>
  <c r="A63" i="6"/>
  <c r="C63" i="6" s="1"/>
  <c r="A49" i="6"/>
  <c r="C49" i="6" s="1"/>
  <c r="A39" i="6"/>
  <c r="C39" i="6" s="1"/>
  <c r="A23" i="6"/>
  <c r="C23" i="6" s="1"/>
  <c r="A21" i="6"/>
  <c r="C21" i="6" s="1"/>
  <c r="A45" i="6"/>
  <c r="C45" i="6" s="1"/>
  <c r="A29" i="6"/>
  <c r="C29" i="6" s="1"/>
  <c r="A20" i="6"/>
  <c r="C20" i="6" s="1"/>
  <c r="A22" i="6"/>
  <c r="C22" i="6" s="1"/>
  <c r="A68" i="6"/>
  <c r="C68" i="6" s="1"/>
  <c r="A54" i="6"/>
  <c r="C54" i="6" s="1"/>
  <c r="A51" i="6"/>
  <c r="C51" i="6" s="1"/>
  <c r="A60" i="6"/>
  <c r="C60" i="6" s="1"/>
  <c r="A25" i="6"/>
  <c r="C25" i="6" s="1"/>
  <c r="A41" i="6"/>
  <c r="C41" i="6" s="1"/>
  <c r="A35" i="6"/>
  <c r="C35" i="6" s="1"/>
  <c r="A30" i="6"/>
  <c r="C30" i="6" s="1"/>
  <c r="A56" i="6"/>
  <c r="C56" i="6" s="1"/>
  <c r="A66" i="6"/>
  <c r="C66" i="6" s="1"/>
  <c r="A62" i="6"/>
  <c r="C62" i="6" s="1"/>
  <c r="A67" i="6"/>
  <c r="C67" i="6" s="1"/>
  <c r="A19" i="6"/>
  <c r="C19" i="6" s="1"/>
  <c r="A55" i="6"/>
  <c r="C55" i="6" s="1"/>
  <c r="A31" i="6"/>
  <c r="C31" i="6" s="1"/>
  <c r="A61" i="6"/>
  <c r="C61" i="6" s="1"/>
  <c r="A52" i="6"/>
  <c r="C52" i="6" s="1"/>
  <c r="A59" i="6"/>
  <c r="C59" i="6" s="1"/>
  <c r="A24" i="6"/>
  <c r="C24" i="6" s="1"/>
  <c r="A43" i="6"/>
  <c r="C43" i="6" s="1"/>
  <c r="A28" i="6"/>
  <c r="B10" i="6"/>
  <c r="C49" i="5"/>
  <c r="C44" i="5"/>
  <c r="C43" i="5"/>
  <c r="C42" i="5"/>
  <c r="D41" i="5"/>
  <c r="D40" i="5"/>
  <c r="C38" i="5"/>
  <c r="E18" i="5"/>
  <c r="B10" i="5"/>
  <c r="C61" i="13"/>
  <c r="C60" i="13"/>
  <c r="C59" i="13"/>
  <c r="C53" i="13"/>
  <c r="D51" i="13"/>
  <c r="D50" i="13"/>
  <c r="D49" i="13"/>
  <c r="C46" i="13"/>
  <c r="B21" i="13"/>
  <c r="B19" i="13" s="1"/>
  <c r="B10" i="13"/>
  <c r="C68" i="9"/>
  <c r="C67" i="9"/>
  <c r="C60" i="9"/>
  <c r="D58" i="9"/>
  <c r="D57" i="9"/>
  <c r="D56" i="9"/>
  <c r="C52" i="9"/>
  <c r="A24" i="9"/>
  <c r="C24" i="9" s="1"/>
  <c r="B10" i="9"/>
  <c r="C80" i="7"/>
  <c r="C79" i="7"/>
  <c r="C78" i="7"/>
  <c r="D77" i="7"/>
  <c r="D76" i="7"/>
  <c r="D75" i="7"/>
  <c r="C72" i="7"/>
  <c r="A34" i="7"/>
  <c r="C34" i="7" s="1"/>
  <c r="A41" i="7"/>
  <c r="A38" i="7"/>
  <c r="A36" i="7"/>
  <c r="A26" i="7"/>
  <c r="C26" i="7" s="1"/>
  <c r="A25" i="7"/>
  <c r="C25" i="7" s="1"/>
  <c r="A23" i="7"/>
  <c r="C23" i="7" s="1"/>
  <c r="A39" i="7"/>
  <c r="A24" i="7"/>
  <c r="C24" i="7" s="1"/>
  <c r="A27" i="7"/>
  <c r="C27" i="7" s="1"/>
  <c r="A20" i="7"/>
  <c r="C20" i="7" s="1"/>
  <c r="A37" i="7"/>
  <c r="A22" i="7"/>
  <c r="C22" i="7" s="1"/>
  <c r="A30" i="7"/>
  <c r="A28" i="7"/>
  <c r="C28" i="7" s="1"/>
  <c r="A35" i="7"/>
  <c r="C35" i="7" s="1"/>
  <c r="A32" i="7"/>
  <c r="C32" i="7" s="1"/>
  <c r="A21" i="7"/>
  <c r="C21" i="7" s="1"/>
  <c r="A33" i="7"/>
  <c r="C33" i="7" s="1"/>
  <c r="A40" i="7"/>
  <c r="A29" i="7"/>
  <c r="A19" i="7"/>
  <c r="C19" i="7" s="1"/>
  <c r="A31" i="7"/>
  <c r="A18" i="7"/>
  <c r="C18" i="7" s="1"/>
  <c r="B10" i="7"/>
  <c r="A8" i="12"/>
  <c r="E33" i="8" l="1"/>
  <c r="E23" i="8"/>
  <c r="E37" i="8"/>
  <c r="E29" i="8"/>
  <c r="E19" i="8"/>
  <c r="E35" i="8"/>
  <c r="E30" i="8"/>
  <c r="E36" i="8"/>
  <c r="E20" i="8"/>
  <c r="E32" i="8"/>
  <c r="E41" i="8"/>
  <c r="E28" i="8"/>
  <c r="E25" i="8"/>
  <c r="E22" i="8"/>
  <c r="E38" i="8"/>
  <c r="E39" i="8"/>
  <c r="E24" i="8"/>
  <c r="E40" i="8"/>
  <c r="E21" i="8"/>
  <c r="E34" i="8"/>
  <c r="E31" i="8"/>
  <c r="E26" i="8"/>
  <c r="E27" i="8"/>
  <c r="E18" i="7"/>
  <c r="E31" i="7"/>
  <c r="C31" i="7"/>
  <c r="E33" i="7"/>
  <c r="E28" i="7"/>
  <c r="E20" i="7"/>
  <c r="E23" i="7"/>
  <c r="E38" i="7"/>
  <c r="C38" i="7"/>
  <c r="E29" i="7"/>
  <c r="C29" i="7"/>
  <c r="E19" i="7"/>
  <c r="E21" i="7"/>
  <c r="E30" i="7"/>
  <c r="C30" i="7"/>
  <c r="E27" i="7"/>
  <c r="E25" i="7"/>
  <c r="E41" i="7"/>
  <c r="C41" i="7"/>
  <c r="E32" i="7"/>
  <c r="E22" i="7"/>
  <c r="E24" i="7"/>
  <c r="E26" i="7"/>
  <c r="E34" i="7"/>
  <c r="E40" i="7"/>
  <c r="C40" i="7"/>
  <c r="E35" i="7"/>
  <c r="E37" i="7"/>
  <c r="C37" i="7"/>
  <c r="E39" i="7"/>
  <c r="C39" i="7"/>
  <c r="E36" i="7"/>
  <c r="C36" i="7"/>
  <c r="C28" i="6"/>
  <c r="E28" i="6"/>
  <c r="E19" i="6"/>
  <c r="E56" i="6"/>
  <c r="E68" i="6"/>
  <c r="E45" i="6"/>
  <c r="E48" i="6"/>
  <c r="E38" i="6"/>
  <c r="E42" i="6"/>
  <c r="E34" i="6"/>
  <c r="E43" i="6"/>
  <c r="E61" i="6"/>
  <c r="E67" i="6"/>
  <c r="E30" i="6"/>
  <c r="E60" i="6"/>
  <c r="E22" i="6"/>
  <c r="E21" i="6"/>
  <c r="E63" i="6"/>
  <c r="E47" i="6"/>
  <c r="E57" i="6"/>
  <c r="E64" i="6"/>
  <c r="E58" i="6"/>
  <c r="E26" i="6"/>
  <c r="E24" i="6"/>
  <c r="E35" i="6"/>
  <c r="E40" i="6"/>
  <c r="E50" i="6"/>
  <c r="E31" i="6"/>
  <c r="E62" i="6"/>
  <c r="E51" i="6"/>
  <c r="E20" i="6"/>
  <c r="E23" i="6"/>
  <c r="E18" i="6"/>
  <c r="E33" i="6"/>
  <c r="E36" i="6"/>
  <c r="E46" i="6"/>
  <c r="E59" i="6"/>
  <c r="E55" i="6"/>
  <c r="E66" i="6"/>
  <c r="E41" i="6"/>
  <c r="E54" i="6"/>
  <c r="E29" i="6"/>
  <c r="E39" i="6"/>
  <c r="E53" i="6"/>
  <c r="E65" i="6"/>
  <c r="E37" i="6"/>
  <c r="E27" i="6"/>
  <c r="E32" i="6"/>
  <c r="E52" i="6"/>
  <c r="E25" i="6"/>
  <c r="E49" i="6"/>
  <c r="E44" i="6"/>
  <c r="G21" i="13"/>
  <c r="F21" i="13"/>
  <c r="C21" i="13"/>
  <c r="F24" i="11"/>
  <c r="E24" i="11"/>
  <c r="F25" i="11"/>
  <c r="E25" i="11"/>
  <c r="E32" i="5"/>
  <c r="F16" i="11"/>
  <c r="E16" i="11"/>
  <c r="E18" i="11"/>
  <c r="F18" i="11"/>
  <c r="F17" i="11"/>
  <c r="E17" i="11"/>
  <c r="F20" i="4"/>
  <c r="E20" i="4"/>
  <c r="E17" i="4"/>
  <c r="F17" i="4"/>
  <c r="F18" i="4"/>
  <c r="E18" i="4"/>
  <c r="F16" i="4"/>
  <c r="E16" i="4"/>
  <c r="F21" i="4"/>
  <c r="E21" i="4"/>
  <c r="F19" i="4"/>
  <c r="E19" i="4"/>
  <c r="E22" i="4"/>
  <c r="F22" i="4"/>
  <c r="F36" i="8"/>
  <c r="G36" i="8"/>
  <c r="F31" i="8"/>
  <c r="G31" i="8"/>
  <c r="F28" i="8"/>
  <c r="G28" i="8"/>
  <c r="F33" i="8"/>
  <c r="G33" i="8"/>
  <c r="F40" i="8"/>
  <c r="G40" i="8"/>
  <c r="G24" i="8"/>
  <c r="F24" i="8"/>
  <c r="F29" i="8"/>
  <c r="G29" i="8"/>
  <c r="F34" i="8"/>
  <c r="G34" i="8"/>
  <c r="G27" i="8"/>
  <c r="F27" i="8"/>
  <c r="F23" i="8"/>
  <c r="G23" i="8"/>
  <c r="F30" i="8"/>
  <c r="G30" i="8"/>
  <c r="F19" i="8"/>
  <c r="G19" i="8"/>
  <c r="G32" i="8"/>
  <c r="F32" i="8"/>
  <c r="F38" i="8"/>
  <c r="G38" i="8"/>
  <c r="F20" i="8"/>
  <c r="G20" i="8"/>
  <c r="F37" i="8"/>
  <c r="G37" i="8"/>
  <c r="G39" i="8"/>
  <c r="F39" i="8"/>
  <c r="G41" i="8"/>
  <c r="F41" i="8"/>
  <c r="F26" i="8"/>
  <c r="G26" i="8"/>
  <c r="F21" i="8"/>
  <c r="G21" i="8"/>
  <c r="F22" i="8"/>
  <c r="G22" i="8"/>
  <c r="G25" i="8"/>
  <c r="F25" i="8"/>
  <c r="F35" i="8"/>
  <c r="G35" i="8"/>
  <c r="F41" i="6"/>
  <c r="G41" i="6"/>
  <c r="H41" i="6" s="1"/>
  <c r="G31" i="6"/>
  <c r="H31" i="6" s="1"/>
  <c r="F31" i="6"/>
  <c r="G51" i="6"/>
  <c r="H51" i="6" s="1"/>
  <c r="F51" i="6"/>
  <c r="G28" i="6"/>
  <c r="H28" i="6" s="1"/>
  <c r="F28" i="6"/>
  <c r="F27" i="6"/>
  <c r="G27" i="6"/>
  <c r="H27" i="6" s="1"/>
  <c r="F38" i="6"/>
  <c r="G38" i="6"/>
  <c r="H38" i="6" s="1"/>
  <c r="F64" i="6"/>
  <c r="G64" i="6"/>
  <c r="H64" i="6" s="1"/>
  <c r="F45" i="6"/>
  <c r="G45" i="6"/>
  <c r="H45" i="6" s="1"/>
  <c r="F34" i="6"/>
  <c r="G34" i="6"/>
  <c r="H34" i="6" s="1"/>
  <c r="F18" i="6"/>
  <c r="G18" i="6"/>
  <c r="H18" i="6" s="1"/>
  <c r="G62" i="6"/>
  <c r="H62" i="6" s="1"/>
  <c r="F62" i="6"/>
  <c r="G35" i="6"/>
  <c r="H35" i="6" s="1"/>
  <c r="F35" i="6"/>
  <c r="G39" i="6"/>
  <c r="H39" i="6" s="1"/>
  <c r="F39" i="6"/>
  <c r="G56" i="6"/>
  <c r="H56" i="6" s="1"/>
  <c r="F56" i="6"/>
  <c r="F50" i="6"/>
  <c r="G50" i="6"/>
  <c r="H50" i="6" s="1"/>
  <c r="G60" i="6"/>
  <c r="H60" i="6" s="1"/>
  <c r="F60" i="6"/>
  <c r="G46" i="6"/>
  <c r="H46" i="6" s="1"/>
  <c r="F46" i="6"/>
  <c r="F32" i="6"/>
  <c r="G32" i="6"/>
  <c r="H32" i="6" s="1"/>
  <c r="F36" i="6"/>
  <c r="G36" i="6"/>
  <c r="H36" i="6" s="1"/>
  <c r="F48" i="6"/>
  <c r="G48" i="6"/>
  <c r="H48" i="6" s="1"/>
  <c r="F19" i="6"/>
  <c r="G19" i="6"/>
  <c r="H19" i="6" s="1"/>
  <c r="F52" i="6"/>
  <c r="G52" i="6"/>
  <c r="H52" i="6" s="1"/>
  <c r="G37" i="6"/>
  <c r="H37" i="6" s="1"/>
  <c r="F37" i="6"/>
  <c r="G25" i="6"/>
  <c r="H25" i="6" s="1"/>
  <c r="F25" i="6"/>
  <c r="F61" i="6"/>
  <c r="G61" i="6"/>
  <c r="H61" i="6" s="1"/>
  <c r="G33" i="6"/>
  <c r="H33" i="6" s="1"/>
  <c r="F33" i="6"/>
  <c r="F68" i="6"/>
  <c r="G68" i="6"/>
  <c r="H68" i="6" s="1"/>
  <c r="G22" i="6"/>
  <c r="H22" i="6" s="1"/>
  <c r="F22" i="6"/>
  <c r="G55" i="6"/>
  <c r="H55" i="6" s="1"/>
  <c r="F55" i="6"/>
  <c r="G20" i="6"/>
  <c r="H20" i="6" s="1"/>
  <c r="F20" i="6"/>
  <c r="G49" i="6"/>
  <c r="H49" i="6" s="1"/>
  <c r="F49" i="6"/>
  <c r="F30" i="6"/>
  <c r="G30" i="6"/>
  <c r="H30" i="6" s="1"/>
  <c r="F53" i="6"/>
  <c r="G53" i="6"/>
  <c r="H53" i="6" s="1"/>
  <c r="G23" i="6"/>
  <c r="H23" i="6" s="1"/>
  <c r="F23" i="6"/>
  <c r="G29" i="6"/>
  <c r="H29" i="6" s="1"/>
  <c r="F29" i="6"/>
  <c r="G42" i="6"/>
  <c r="H42" i="6" s="1"/>
  <c r="F42" i="6"/>
  <c r="F40" i="6"/>
  <c r="G40" i="6"/>
  <c r="H40" i="6" s="1"/>
  <c r="G66" i="6"/>
  <c r="H66" i="6" s="1"/>
  <c r="F66" i="6"/>
  <c r="G24" i="6"/>
  <c r="H24" i="6" s="1"/>
  <c r="F24" i="6"/>
  <c r="F63" i="6"/>
  <c r="G63" i="6"/>
  <c r="H63" i="6" s="1"/>
  <c r="G59" i="6"/>
  <c r="H59" i="6" s="1"/>
  <c r="F59" i="6"/>
  <c r="F26" i="6"/>
  <c r="G26" i="6"/>
  <c r="H26" i="6" s="1"/>
  <c r="F43" i="6"/>
  <c r="G43" i="6"/>
  <c r="H43" i="6" s="1"/>
  <c r="F47" i="6"/>
  <c r="G47" i="6"/>
  <c r="H47" i="6" s="1"/>
  <c r="F58" i="6"/>
  <c r="G58" i="6"/>
  <c r="H58" i="6" s="1"/>
  <c r="F54" i="6"/>
  <c r="G54" i="6"/>
  <c r="H54" i="6" s="1"/>
  <c r="G44" i="6"/>
  <c r="H44" i="6" s="1"/>
  <c r="F44" i="6"/>
  <c r="G67" i="6"/>
  <c r="H67" i="6" s="1"/>
  <c r="F67" i="6"/>
  <c r="G21" i="6"/>
  <c r="H21" i="6" s="1"/>
  <c r="F21" i="6"/>
  <c r="F57" i="6"/>
  <c r="G57" i="6"/>
  <c r="H57" i="6" s="1"/>
  <c r="F65" i="6"/>
  <c r="G65" i="6"/>
  <c r="H65" i="6" s="1"/>
  <c r="F33" i="7"/>
  <c r="G33" i="7"/>
  <c r="F37" i="7"/>
  <c r="G37" i="7"/>
  <c r="F20" i="7"/>
  <c r="G20" i="7"/>
  <c r="G25" i="7"/>
  <c r="F25" i="7"/>
  <c r="F24" i="7"/>
  <c r="G24" i="7"/>
  <c r="F40" i="7"/>
  <c r="G40" i="7"/>
  <c r="F23" i="7"/>
  <c r="G23" i="7"/>
  <c r="F27" i="7"/>
  <c r="G27" i="7"/>
  <c r="G41" i="7"/>
  <c r="F41" i="7"/>
  <c r="F22" i="7"/>
  <c r="G22" i="7"/>
  <c r="F21" i="7"/>
  <c r="G21" i="7"/>
  <c r="F32" i="7"/>
  <c r="G32" i="7"/>
  <c r="F29" i="7"/>
  <c r="G29" i="7"/>
  <c r="F39" i="7"/>
  <c r="G39" i="7"/>
  <c r="F28" i="7"/>
  <c r="G28" i="7"/>
  <c r="F19" i="7"/>
  <c r="G19" i="7"/>
  <c r="F38" i="7"/>
  <c r="G38" i="7"/>
  <c r="F35" i="7"/>
  <c r="G35" i="7"/>
  <c r="F18" i="7"/>
  <c r="G18" i="7"/>
  <c r="F34" i="7"/>
  <c r="G34" i="7"/>
  <c r="F31" i="7"/>
  <c r="G31" i="7"/>
  <c r="F30" i="7"/>
  <c r="G30" i="7"/>
  <c r="F36" i="7"/>
  <c r="G36" i="7"/>
  <c r="F26" i="7"/>
  <c r="G26" i="7"/>
  <c r="G24" i="9"/>
  <c r="G26" i="9" l="1"/>
  <c r="G24" i="11"/>
  <c r="H21" i="13"/>
  <c r="G18" i="11"/>
  <c r="G16" i="11"/>
  <c r="F15" i="5"/>
  <c r="G59" i="7"/>
  <c r="H41" i="8"/>
  <c r="H24" i="9"/>
  <c r="G31" i="9"/>
  <c r="H56" i="8"/>
  <c r="G25" i="11"/>
  <c r="G40" i="9"/>
  <c r="F27" i="11"/>
  <c r="G29" i="10"/>
  <c r="H36" i="13"/>
  <c r="G16" i="10"/>
  <c r="H25" i="8"/>
  <c r="F29" i="5"/>
  <c r="G18" i="4"/>
  <c r="G19" i="4"/>
  <c r="G17" i="4"/>
  <c r="H29" i="8"/>
  <c r="H35" i="8"/>
  <c r="H33" i="8"/>
  <c r="H40" i="8"/>
  <c r="H39" i="8"/>
  <c r="H21" i="8"/>
  <c r="H34" i="8"/>
  <c r="H19" i="8"/>
  <c r="H28" i="8"/>
  <c r="H31" i="8"/>
  <c r="H37" i="8"/>
  <c r="F20" i="11"/>
  <c r="G40" i="11"/>
  <c r="G22" i="4"/>
  <c r="G17" i="11"/>
  <c r="F18" i="10"/>
  <c r="G34" i="13"/>
  <c r="H42" i="9"/>
  <c r="G35" i="4"/>
  <c r="G20" i="4"/>
  <c r="G16" i="4"/>
  <c r="G21" i="4"/>
  <c r="G45" i="8"/>
  <c r="H18" i="8"/>
  <c r="H20" i="8"/>
  <c r="H24" i="8"/>
  <c r="H22" i="8"/>
  <c r="H30" i="8"/>
  <c r="H23" i="8"/>
  <c r="H27" i="8"/>
  <c r="H32" i="8"/>
  <c r="H26" i="8"/>
  <c r="H38" i="8"/>
  <c r="F24" i="4"/>
  <c r="H36" i="8"/>
  <c r="G45" i="7"/>
  <c r="G73" i="6"/>
  <c r="G27" i="13"/>
  <c r="G87" i="6" l="1"/>
  <c r="H26" i="9"/>
  <c r="G44" i="9"/>
  <c r="G63" i="7"/>
  <c r="G66" i="7" s="1"/>
  <c r="G27" i="11"/>
  <c r="G38" i="13"/>
  <c r="G41" i="13" s="1"/>
  <c r="G59" i="8"/>
  <c r="H34" i="13"/>
  <c r="F38" i="4"/>
  <c r="F32" i="10"/>
  <c r="H40" i="9"/>
  <c r="F18" i="5"/>
  <c r="G20" i="11"/>
  <c r="H31" i="9"/>
  <c r="G18" i="10"/>
  <c r="F29" i="11"/>
  <c r="G24" i="4"/>
  <c r="H45" i="8"/>
  <c r="H73" i="6"/>
  <c r="H27" i="13"/>
  <c r="H87" i="6" l="1"/>
  <c r="G47" i="9"/>
  <c r="F43" i="11"/>
  <c r="H44" i="9"/>
  <c r="G29" i="11"/>
  <c r="H38" i="13"/>
  <c r="H41" i="13" s="1"/>
  <c r="F32" i="5"/>
  <c r="H59" i="8"/>
  <c r="G38" i="4"/>
  <c r="G32" i="10"/>
  <c r="H47" i="9" l="1"/>
  <c r="G43" i="11"/>
  <c r="H61" i="7" l="1"/>
  <c r="H38" i="7"/>
  <c r="H29" i="7"/>
  <c r="H36" i="7"/>
  <c r="H23" i="7"/>
  <c r="H19" i="7"/>
  <c r="H35" i="7"/>
  <c r="H26" i="7"/>
  <c r="H21" i="7"/>
  <c r="H31" i="7"/>
  <c r="H34" i="7"/>
  <c r="H39" i="7"/>
  <c r="H28" i="7"/>
  <c r="H30" i="7"/>
  <c r="H32" i="7"/>
  <c r="H25" i="7"/>
  <c r="H24" i="7"/>
  <c r="H33" i="7"/>
  <c r="H40" i="7"/>
  <c r="H20" i="7"/>
  <c r="H27" i="7"/>
  <c r="H22" i="7"/>
  <c r="H41" i="7"/>
  <c r="H37" i="7"/>
  <c r="H57" i="7"/>
  <c r="H18" i="7"/>
  <c r="H68" i="7"/>
  <c r="H59" i="7" l="1"/>
  <c r="H45" i="7"/>
  <c r="H63" i="7" l="1"/>
  <c r="H66" i="7" s="1"/>
  <c r="B17" i="4" l="1"/>
  <c r="B35" i="9" l="1"/>
  <c r="B36" i="9" s="1"/>
  <c r="B37" i="9" s="1"/>
  <c r="B38" i="9" s="1"/>
  <c r="B19" i="7" l="1"/>
  <c r="B20" i="7"/>
  <c r="B21" i="7" s="1"/>
  <c r="B22" i="7" s="1"/>
  <c r="B23" i="7" s="1"/>
  <c r="B24" i="7" s="1"/>
  <c r="B25" i="7" s="1"/>
  <c r="B26" i="7" s="1"/>
  <c r="B27" i="7" s="1"/>
  <c r="B28" i="7" s="1"/>
  <c r="B29" i="7" s="1"/>
  <c r="B30" i="7" s="1"/>
  <c r="B31" i="7" s="1"/>
  <c r="B32" i="7" s="1"/>
  <c r="B33" i="7" s="1"/>
  <c r="B34" i="7" s="1"/>
  <c r="B35" i="7" s="1"/>
  <c r="B36" i="7" s="1"/>
  <c r="B37" i="7" s="1"/>
  <c r="B38" i="7" s="1"/>
  <c r="B39" i="7" s="1"/>
  <c r="B40" i="7" s="1"/>
  <c r="B41" i="7" s="1"/>
  <c r="B18" i="6"/>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19" i="8"/>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18" i="4" l="1"/>
  <c r="B19" i="4"/>
  <c r="B20" i="4"/>
  <c r="B21" i="4"/>
  <c r="B22" i="4" s="1"/>
</calcChain>
</file>

<file path=xl/sharedStrings.xml><?xml version="1.0" encoding="utf-8"?>
<sst xmlns="http://schemas.openxmlformats.org/spreadsheetml/2006/main" count="4004" uniqueCount="1054">
  <si>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</si>
  <si>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</si>
  <si>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</si>
  <si>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</si>
  <si>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</si>
  <si>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</si>
  <si>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</si>
  <si>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</si>
  <si>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</si>
  <si>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</si>
  <si>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</si>
  <si>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</si>
  <si>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</si>
  <si>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</si>
  <si>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</si>
  <si>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</si>
  <si>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</si>
  <si>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</si>
  <si>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</si>
  <si>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</si>
  <si>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</si>
  <si>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</si>
  <si>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</si>
  <si>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</si>
  <si>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</si>
  <si>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</si>
  <si>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</si>
  <si>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</si>
  <si>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</si>
  <si>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</si>
  <si>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</si>
  <si>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</si>
  <si>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</si>
  <si>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</si>
  <si>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</si>
  <si>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</si>
  <si>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</si>
  <si>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</si>
  <si>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</si>
  <si>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</si>
  <si>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</si>
  <si>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</si>
  <si>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</si>
  <si>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</si>
  <si>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</si>
  <si>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</si>
  <si>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</si>
  <si>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</si>
  <si>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</si>
  <si>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</si>
  <si>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</si>
  <si>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</si>
  <si>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</si>
  <si>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</si>
  <si>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</si>
  <si>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</si>
  <si>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</si>
  <si>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</si>
  <si>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</si>
  <si>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</si>
  <si>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</si>
  <si>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</si>
  <si>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</si>
  <si>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</si>
  <si>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</si>
  <si>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</si>
  <si>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</si>
  <si>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</si>
  <si>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</si>
  <si>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</si>
  <si>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</si>
  <si>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</si>
  <si>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</si>
  <si>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</si>
  <si>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</si>
  <si>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</si>
  <si>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</si>
  <si>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</si>
  <si>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</si>
  <si>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</si>
  <si>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</si>
  <si>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</si>
  <si>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</si>
  <si>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</si>
  <si>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</si>
  <si>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</si>
  <si>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</si>
  <si>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</si>
  <si>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</si>
  <si>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</si>
  <si>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</si>
  <si>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</si>
  <si>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</si>
  <si>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</si>
  <si>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</si>
  <si>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</si>
  <si>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</si>
  <si>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</si>
  <si>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</si>
  <si>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</si>
  <si>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</si>
  <si>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</si>
  <si>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</si>
  <si>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</si>
  <si>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</si>
  <si>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</si>
  <si>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</si>
  <si>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</si>
  <si>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</si>
  <si>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</si>
  <si>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</si>
  <si>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</si>
  <si>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</si>
  <si>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</si>
  <si>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</si>
  <si>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</si>
  <si>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</si>
  <si>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</si>
  <si>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</si>
  <si>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</si>
  <si>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</si>
  <si>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</si>
  <si>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</si>
  <si>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</si>
  <si>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</si>
  <si>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</si>
  <si>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</si>
  <si>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</si>
  <si>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</si>
  <si>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</si>
  <si>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</si>
  <si>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</si>
  <si>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</si>
  <si>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</si>
  <si>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</si>
  <si>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</si>
  <si>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</si>
  <si>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</si>
  <si>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</si>
  <si>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</si>
  <si>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</si>
  <si>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</si>
  <si>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</si>
  <si>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</si>
  <si>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</si>
  <si>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</si>
  <si>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</si>
  <si>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</si>
  <si>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</si>
  <si>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</si>
  <si>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</si>
  <si>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</si>
  <si>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</si>
  <si>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</si>
  <si>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</si>
  <si>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</si>
  <si>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</si>
  <si>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</si>
  <si>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</si>
  <si>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</si>
  <si>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</si>
  <si>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</si>
  <si>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</si>
  <si>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</si>
  <si>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</si>
  <si>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</si>
  <si>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</si>
  <si>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</si>
  <si>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</si>
  <si>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</si>
  <si>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</si>
  <si>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</si>
  <si>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</si>
  <si>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</si>
  <si>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</si>
  <si>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Quantum Index Fund*</t>
  </si>
  <si>
    <t>MUTUAL FUND UNITS</t>
  </si>
  <si>
    <t>EXCHANGE TRADED FUND UNITS</t>
  </si>
  <si>
    <t>Treasury Bills (T-Bill)</t>
  </si>
  <si>
    <t>Auto Ancillaries</t>
  </si>
  <si>
    <t>INE302A01020</t>
  </si>
  <si>
    <t>d)</t>
  </si>
  <si>
    <t>Reports as on</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</si>
  <si>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</si>
  <si>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</si>
  <si>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</si>
  <si>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</si>
  <si>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</si>
  <si>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</si>
  <si>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</si>
  <si>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</si>
  <si>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</si>
  <si>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</si>
  <si>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</si>
  <si>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</si>
  <si>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</si>
  <si>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</si>
  <si>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</si>
  <si>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Total of T-Bill</t>
  </si>
  <si>
    <t>Total of CDs</t>
  </si>
  <si>
    <t>INF769K01AX2</t>
  </si>
  <si>
    <t>INE062A01020</t>
  </si>
  <si>
    <t>Total of T-Bills</t>
  </si>
  <si>
    <t>NAV date</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</si>
  <si>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</si>
  <si>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</si>
  <si>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</si>
  <si>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</si>
  <si>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</si>
  <si>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</si>
  <si>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</si>
  <si>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</si>
  <si>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</si>
  <si>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</si>
  <si>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</si>
  <si>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</si>
  <si>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</si>
  <si>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</si>
  <si>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</si>
  <si>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</si>
  <si>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</si>
  <si>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</si>
  <si>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</si>
  <si>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</si>
  <si>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</si>
  <si>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</si>
  <si>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QDBF</t>
  </si>
  <si>
    <t>Monthly Dividend Option</t>
  </si>
  <si>
    <t>For Monthly Dividend Option</t>
  </si>
  <si>
    <t>Franklin India High Growth Co Fund -Direct-Growth</t>
  </si>
  <si>
    <t>Mirae Asset India Opp'ties Fund-Direct Plan-Growth</t>
  </si>
  <si>
    <t>HDFC Mid-Cap Opportunities Fund Direct Plan Growth</t>
  </si>
  <si>
    <t>Birla Sun Life Frontline Eq Fd - Gr - Direct Plan</t>
  </si>
  <si>
    <t>ICICI Pru. Focused Bluechip Equity - Direct-Grwth</t>
  </si>
  <si>
    <t>Quantum Index Fund (an ETF)</t>
  </si>
  <si>
    <t>Quantum Gold Fund (an ETF)</t>
  </si>
  <si>
    <t>Quantum Long-Term Equity Fund-Growth Option</t>
  </si>
  <si>
    <t>Government Securities</t>
  </si>
  <si>
    <t>QUANTUM MUTUAL FUND</t>
  </si>
  <si>
    <t>Scheme Name</t>
  </si>
  <si>
    <t>Security Code</t>
  </si>
  <si>
    <t>Security Name</t>
  </si>
  <si>
    <t>Security Type</t>
  </si>
  <si>
    <t>Security Type Name</t>
  </si>
  <si>
    <t>Face Value Per Unit (Rs.)</t>
  </si>
  <si>
    <t>Previous Market Price</t>
  </si>
  <si>
    <t>Current Market Price</t>
  </si>
  <si>
    <t>Price Variance between Previous &amp; Current (%)</t>
  </si>
  <si>
    <t>Quotation Currency</t>
  </si>
  <si>
    <t>Average Unit Cost (Rs.)</t>
  </si>
  <si>
    <t>Total Book Cost (Rs.)</t>
  </si>
  <si>
    <t>Ammortised Book Cost (Rs.)</t>
  </si>
  <si>
    <t>Total Market Value (Rs.)</t>
  </si>
  <si>
    <t>Cummulative Unrealised Gain/(Loss) (Rs.)</t>
  </si>
  <si>
    <t>Unrealised Gain Loss for the Day (Rs.)</t>
  </si>
  <si>
    <t>Market Value as % of Net Asset</t>
  </si>
  <si>
    <t>Market Value as % of Total Investments</t>
  </si>
  <si>
    <t>Accrued Interest</t>
  </si>
  <si>
    <t>Accretion of Premium/Discount</t>
  </si>
  <si>
    <t>Price Date</t>
  </si>
  <si>
    <t>Coupon Rate</t>
  </si>
  <si>
    <t>Previous IP Date</t>
  </si>
  <si>
    <t>Next  IP Date</t>
  </si>
  <si>
    <t>Final Maturity</t>
  </si>
  <si>
    <t>Residual Maturity Period (Days)</t>
  </si>
  <si>
    <t>Maturity / Put / Call / Reset Option</t>
  </si>
  <si>
    <t>Classification of Maturity / Put / Call / Reset Option</t>
  </si>
  <si>
    <t>Listed / Unlisted</t>
  </si>
  <si>
    <t>Illiquidty bps</t>
  </si>
  <si>
    <t>CBV Matrix</t>
  </si>
  <si>
    <t>Sector / Industry Classification</t>
  </si>
  <si>
    <t>Issuer Name</t>
  </si>
  <si>
    <t>Exchange</t>
  </si>
  <si>
    <t>QUANTUM INDEX FUND - ETF</t>
  </si>
  <si>
    <t>ACCL02</t>
  </si>
  <si>
    <t>EQUITY</t>
  </si>
  <si>
    <t>Equity</t>
  </si>
  <si>
    <t>INR</t>
  </si>
  <si>
    <t xml:space="preserve"> </t>
  </si>
  <si>
    <t>LISTED</t>
  </si>
  <si>
    <t>NSE</t>
  </si>
  <si>
    <t>ASPA02</t>
  </si>
  <si>
    <t>BALN01</t>
  </si>
  <si>
    <t>BHAH02</t>
  </si>
  <si>
    <t>BKBA02</t>
  </si>
  <si>
    <t>BPCL01</t>
  </si>
  <si>
    <t>BTAT01</t>
  </si>
  <si>
    <t>BTVL02</t>
  </si>
  <si>
    <t>CIPL03</t>
  </si>
  <si>
    <t>COAL01</t>
  </si>
  <si>
    <t>DRRL02</t>
  </si>
  <si>
    <t>GAIL01</t>
  </si>
  <si>
    <t>GUAM02</t>
  </si>
  <si>
    <t>HCLT02</t>
  </si>
  <si>
    <t>HDFB02</t>
  </si>
  <si>
    <t>HDFC03</t>
  </si>
  <si>
    <t>HERO02</t>
  </si>
  <si>
    <t>HINI02</t>
  </si>
  <si>
    <t>HLEL02</t>
  </si>
  <si>
    <t>IBCL05</t>
  </si>
  <si>
    <t>IIBL01</t>
  </si>
  <si>
    <t>INFS02</t>
  </si>
  <si>
    <t>ITCL02</t>
  </si>
  <si>
    <t>KOMA02</t>
  </si>
  <si>
    <t>LARS02</t>
  </si>
  <si>
    <t>LUPL02</t>
  </si>
  <si>
    <t>MAHI02</t>
  </si>
  <si>
    <t>MAUD01</t>
  </si>
  <si>
    <t>MOTI02</t>
  </si>
  <si>
    <t>NTPC01</t>
  </si>
  <si>
    <t>ONGC02</t>
  </si>
  <si>
    <t>PGCI01</t>
  </si>
  <si>
    <t>RIND01</t>
  </si>
  <si>
    <t>SBAI02</t>
  </si>
  <si>
    <t>SPIL03</t>
  </si>
  <si>
    <t>TCSL01</t>
  </si>
  <si>
    <t>TELC03</t>
  </si>
  <si>
    <t>TEMA02</t>
  </si>
  <si>
    <t>TISC01</t>
  </si>
  <si>
    <t>TPOW02</t>
  </si>
  <si>
    <t>ULCC01</t>
  </si>
  <si>
    <t>UTIB02</t>
  </si>
  <si>
    <t>WIPR02</t>
  </si>
  <si>
    <t>YESB01</t>
  </si>
  <si>
    <t>ZEET02</t>
  </si>
  <si>
    <t>EQUITY TOTAL</t>
  </si>
  <si>
    <t>Cash &amp; Cash Equivalent:</t>
  </si>
  <si>
    <t>Net Asset:</t>
  </si>
  <si>
    <t>QUANTUM LONG TERM EQUITY FUND</t>
  </si>
  <si>
    <t>CBLO</t>
  </si>
  <si>
    <t>MATURITY</t>
  </si>
  <si>
    <t>UNLISTED</t>
  </si>
  <si>
    <t>Clearing Corporation of India Ltd</t>
  </si>
  <si>
    <t>CBLO TOTAL</t>
  </si>
  <si>
    <t>CHLO02</t>
  </si>
  <si>
    <t>IHOT02</t>
  </si>
  <si>
    <t>IOIC01</t>
  </si>
  <si>
    <t>PLNG01</t>
  </si>
  <si>
    <t>PTCI01</t>
  </si>
  <si>
    <t>TCHE01</t>
  </si>
  <si>
    <t>TBILL</t>
  </si>
  <si>
    <t>Treasury Bill</t>
  </si>
  <si>
    <t>SOV</t>
  </si>
  <si>
    <t>Government of India</t>
  </si>
  <si>
    <t>TBILL TOTAL</t>
  </si>
  <si>
    <t>QUANTUM TAX SAVING FUND</t>
  </si>
  <si>
    <t>QUETFG</t>
  </si>
  <si>
    <t>QUANTUM GOLD FUND - ETF</t>
  </si>
  <si>
    <t>GOLD100</t>
  </si>
  <si>
    <t>DBXXXGOLD100</t>
  </si>
  <si>
    <t>GOLD .995 1KG BAR</t>
  </si>
  <si>
    <t>Gold</t>
  </si>
  <si>
    <t>GOLD102</t>
  </si>
  <si>
    <t>GOLD 995 1KG BAR-Ahmedabad</t>
  </si>
  <si>
    <t>GOLD TOTAL</t>
  </si>
  <si>
    <t>QLTEFNet Asset:</t>
  </si>
  <si>
    <t>QIFNet Asset:</t>
  </si>
  <si>
    <t>QTSFNet Asset:</t>
  </si>
  <si>
    <t>DATE  (dd/mm/yyyy)</t>
  </si>
  <si>
    <t>BLOOMBERG CODE/ISIN/SEDOL</t>
  </si>
  <si>
    <t>FUND NAME</t>
  </si>
  <si>
    <t>CURRENCY</t>
  </si>
  <si>
    <t>NAV</t>
  </si>
  <si>
    <t>BID</t>
  </si>
  <si>
    <t>OFFER</t>
  </si>
  <si>
    <t>YIELD</t>
  </si>
  <si>
    <t>TOTAL ASSETS</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</si>
  <si>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</si>
  <si>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</si>
  <si>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</si>
  <si>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</si>
  <si>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</si>
  <si>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</si>
  <si>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</si>
  <si>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</si>
  <si>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</si>
  <si>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</si>
  <si>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</si>
  <si>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</si>
  <si>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</si>
  <si>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QUANTUM DYNAMIC BOND FUND</t>
  </si>
  <si>
    <t>GOVERNMENT</t>
  </si>
  <si>
    <t>Government Bond</t>
  </si>
  <si>
    <t>GOVERNMENT TOTAL</t>
  </si>
  <si>
    <t>QEFF</t>
  </si>
  <si>
    <t>QUANTUM EQUITY FUND OF FUNDS</t>
  </si>
  <si>
    <t>MUTFUND</t>
  </si>
  <si>
    <t>Mutual Fund Units</t>
  </si>
  <si>
    <t>Franklin Templeton Mutual Fund</t>
  </si>
  <si>
    <t>Mirae Asset Mutual Fund</t>
  </si>
  <si>
    <t>HDFC Mutual Fund</t>
  </si>
  <si>
    <t>Birla Sun Life Mutual Fund</t>
  </si>
  <si>
    <t>SBI Mutual Fund</t>
  </si>
  <si>
    <t>ICICI Prudential Mutual Fund</t>
  </si>
  <si>
    <t>MUTFUND TOTAL</t>
  </si>
  <si>
    <t>QUANTUM GOLD SAVINGS FUND</t>
  </si>
  <si>
    <t>QGET51ME</t>
  </si>
  <si>
    <t>ETF</t>
  </si>
  <si>
    <t>Exchange Traded Funds</t>
  </si>
  <si>
    <t>ETF TOTAL</t>
  </si>
  <si>
    <t>QUANTUM LIQUID FUND</t>
  </si>
  <si>
    <t>CD</t>
  </si>
  <si>
    <t>Certificate of Deposit</t>
  </si>
  <si>
    <t>CD TOTAL</t>
  </si>
  <si>
    <t>QUANTUM MULTI ASSET FUND</t>
  </si>
  <si>
    <t>108479</t>
  </si>
  <si>
    <t>103490</t>
  </si>
  <si>
    <t>103734</t>
  </si>
  <si>
    <t>134494</t>
  </si>
  <si>
    <t>QLFNet Asset:</t>
  </si>
  <si>
    <t>QDBFNet Asset:</t>
  </si>
  <si>
    <t>QGSFINF082J01010</t>
  </si>
  <si>
    <t>QGSFNet Asset:</t>
  </si>
  <si>
    <t>QEFFNet Asset:</t>
  </si>
  <si>
    <t>QMAFNet Asset:</t>
  </si>
  <si>
    <t>Quantum Dynamic Bond Fund (An Open Ended Debt Scheme)</t>
  </si>
  <si>
    <t>MUND02</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</si>
  <si>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</si>
  <si>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</si>
  <si>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</si>
  <si>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</si>
  <si>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</si>
  <si>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</si>
  <si>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</si>
  <si>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</si>
  <si>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CP</t>
  </si>
  <si>
    <t>Commercial Paper</t>
  </si>
  <si>
    <t>CP TOTAL</t>
  </si>
  <si>
    <t>Commerical Papers (CP)</t>
  </si>
  <si>
    <t>Total of CPs</t>
  </si>
  <si>
    <t>**     Thinly Traded/Non Traded Securities as per traded data obtain from FIMMDA trading platform/ NSE/ BSE/CCIL NDS-OM</t>
  </si>
  <si>
    <t>Total Face Value (Rs.)</t>
  </si>
  <si>
    <t>118564</t>
  </si>
  <si>
    <t>118825</t>
  </si>
  <si>
    <t>118989</t>
  </si>
  <si>
    <t>119528</t>
  </si>
  <si>
    <t>119721</t>
  </si>
  <si>
    <t>120586</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</si>
  <si>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</si>
  <si>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</si>
  <si>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</si>
  <si>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</si>
  <si>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</si>
  <si>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</si>
  <si>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</si>
  <si>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</si>
  <si>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</si>
  <si>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</si>
  <si>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</si>
  <si>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</si>
  <si>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</si>
  <si>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</si>
  <si>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</si>
  <si>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HDFC Bank Limited</t>
  </si>
  <si>
    <t>Housing Development Finance Corporation Limited</t>
  </si>
  <si>
    <t>Hero MotoCorp Limited</t>
  </si>
  <si>
    <t>Hindalco Industries Limited</t>
  </si>
  <si>
    <t>Hindustan Unilever Limited</t>
  </si>
  <si>
    <t>ICICI Bank Limited</t>
  </si>
  <si>
    <t>IndusInd Bank Limited</t>
  </si>
  <si>
    <t>Infosys Limited</t>
  </si>
  <si>
    <t>ITC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</si>
  <si>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</si>
  <si>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</si>
  <si>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</si>
  <si>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</si>
  <si>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</si>
  <si>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</si>
  <si>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</si>
  <si>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</si>
  <si>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</si>
  <si>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</si>
  <si>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Reliance Industries Limited</t>
  </si>
  <si>
    <t>Sun Pharmaceuticals Industries Limited</t>
  </si>
  <si>
    <t>Tata Consultancy Services Limited</t>
  </si>
  <si>
    <t>Tata Motors Limited</t>
  </si>
  <si>
    <t>Tech Mahindra Limited</t>
  </si>
  <si>
    <t>Tata Steel Limited</t>
  </si>
  <si>
    <t>Tata Power Company Limited</t>
  </si>
  <si>
    <t>UltraTech Cement Limited</t>
  </si>
  <si>
    <t>Axis Bank Limited</t>
  </si>
  <si>
    <t>Wipro Limited</t>
  </si>
  <si>
    <t>Yes Bank Limited</t>
  </si>
  <si>
    <t>Zee Entertainment Enterprises Limited</t>
  </si>
  <si>
    <t>Exide Industries Limited</t>
  </si>
  <si>
    <t>The Indian Hotels Company Limited</t>
  </si>
  <si>
    <t>Indian Oil Corporation Limited</t>
  </si>
  <si>
    <t>Petronet LNG Limited</t>
  </si>
  <si>
    <t>PTC India Limited</t>
  </si>
  <si>
    <t>Tata Chemicals Limited</t>
  </si>
  <si>
    <t>CARE A1+</t>
  </si>
  <si>
    <t>AUPH03</t>
  </si>
  <si>
    <t>INE406A01037</t>
  </si>
  <si>
    <t>Aurobindo Pharma Limited</t>
  </si>
  <si>
    <t>BINL01</t>
  </si>
  <si>
    <t>INE121J01017</t>
  </si>
  <si>
    <t>Bharti Infratel Limited</t>
  </si>
  <si>
    <t>Telecom -  Equipment &amp; Accessories</t>
  </si>
  <si>
    <t>EIML01</t>
  </si>
  <si>
    <t>INE066A01013</t>
  </si>
  <si>
    <t>Eicher Motors Limited</t>
  </si>
  <si>
    <t>TELC04</t>
  </si>
  <si>
    <t>IN9155A01020</t>
  </si>
  <si>
    <t>Net Receivables / (Payables)</t>
  </si>
  <si>
    <t>118535</t>
  </si>
  <si>
    <t>INF090I01FK3</t>
  </si>
  <si>
    <t>Franklin India PRIMA PLUS - Direct - Growth</t>
  </si>
  <si>
    <t>Quantum Liquid Fund-Growth Option</t>
  </si>
  <si>
    <t>Quantum Dynamic Bond Fund-Growth Option</t>
  </si>
  <si>
    <t>NAV date for QLF</t>
  </si>
  <si>
    <t>Others</t>
  </si>
  <si>
    <t>ACC Ltd</t>
  </si>
  <si>
    <t>Asian Paints Ltd</t>
  </si>
  <si>
    <t>Aurobindo Pharma Ltd</t>
  </si>
  <si>
    <t>Bajaj Auto Ltd</t>
  </si>
  <si>
    <t>Bharat Heavy Electricals Ltd</t>
  </si>
  <si>
    <t>Bank Of Baroda</t>
  </si>
  <si>
    <t>Bharat Petroleum Corp Ltd</t>
  </si>
  <si>
    <t>Idea Cellular Ltd</t>
  </si>
  <si>
    <t>Bharti Airtel Ltd</t>
  </si>
  <si>
    <t>Cipla Ltd</t>
  </si>
  <si>
    <t>Coal India Ltd</t>
  </si>
  <si>
    <t>Dr Reddys Laboratories Ltd</t>
  </si>
  <si>
    <t>Eicher Motors Ltd</t>
  </si>
  <si>
    <t>Gail (India) Ltd</t>
  </si>
  <si>
    <t>Grasim Industries Ltd</t>
  </si>
  <si>
    <t>Ambuja Cements Ltd</t>
  </si>
  <si>
    <t>HCL Technologies Ltd</t>
  </si>
  <si>
    <t>HDFC Bank Ltd</t>
  </si>
  <si>
    <t>Housing Development Finance Corporation Ltd</t>
  </si>
  <si>
    <t>Hero MotoCorp Ltd</t>
  </si>
  <si>
    <t>Hindalco Industries Ltd</t>
  </si>
  <si>
    <t>Hindustan Unilever Ltd</t>
  </si>
  <si>
    <t>ICICI Bank Ltd</t>
  </si>
  <si>
    <t>Indusind Bank Ltd</t>
  </si>
  <si>
    <t>Infosys Ltd</t>
  </si>
  <si>
    <t>ITC Ltd</t>
  </si>
  <si>
    <t>Kotak Mahindra Bank Ltd</t>
  </si>
  <si>
    <t>Larsen &amp; Toubro Ltd</t>
  </si>
  <si>
    <t>Lupin Ltd</t>
  </si>
  <si>
    <t>Mahindra &amp; Mahindra Ltd</t>
  </si>
  <si>
    <t>Maruti Suzuki India Ltd</t>
  </si>
  <si>
    <t>Bosch Ltd</t>
  </si>
  <si>
    <t>Adani Ports and Special Economic Zone Ltd</t>
  </si>
  <si>
    <t>NTPC Ltd</t>
  </si>
  <si>
    <t>Oil &amp; Natural Gas Corporation Ltd</t>
  </si>
  <si>
    <t>Power Grid Corporation of India Ltd</t>
  </si>
  <si>
    <t>Reliance Industries Ltd</t>
  </si>
  <si>
    <t>Sun Pharmaceuticals Industries Ltd</t>
  </si>
  <si>
    <t>Tata Consultancy Services Ltd</t>
  </si>
  <si>
    <t>Tata Motors Ltd</t>
  </si>
  <si>
    <t>Tata Motors Ltd DVR Shares</t>
  </si>
  <si>
    <t>Tech Mahindra Ltd</t>
  </si>
  <si>
    <t>Tata Steel Ltd</t>
  </si>
  <si>
    <t>Ultratech Cement Ltd</t>
  </si>
  <si>
    <t>Axis Bank Ltd</t>
  </si>
  <si>
    <t>Wipro Ltd</t>
  </si>
  <si>
    <t>Yes Bank Ltd</t>
  </si>
  <si>
    <t>Zee Entertainment Enterprises Ltd</t>
  </si>
  <si>
    <t>Exide Industries Ltd</t>
  </si>
  <si>
    <t>Indian Hotels Co Ltd</t>
  </si>
  <si>
    <t>Indian Oil Corporation Ltd</t>
  </si>
  <si>
    <t>Petronet LNG Ltd</t>
  </si>
  <si>
    <t>PTC India Ltd</t>
  </si>
  <si>
    <t>Tata Chemicals Ltd</t>
  </si>
  <si>
    <t>GOI1430</t>
  </si>
  <si>
    <t>IN0020150093</t>
  </si>
  <si>
    <t>7.59% GOI(MD 11/01/2026)</t>
  </si>
  <si>
    <t>National Bank For Agriculture and Rural Development</t>
  </si>
  <si>
    <t xml:space="preserve">Net Receivable/(payable) </t>
  </si>
  <si>
    <t>ICRA A1+</t>
  </si>
  <si>
    <t>Quantum Gold Fund (An Open Ended Exchange Traded Fund - Gold)</t>
  </si>
  <si>
    <t>GOI1298</t>
  </si>
  <si>
    <t>IN0020150036</t>
  </si>
  <si>
    <t>7.72% GOI (MD 25/05/2025)</t>
  </si>
  <si>
    <t>GRAS02</t>
  </si>
  <si>
    <t>INE047A01021</t>
  </si>
  <si>
    <t>Tata Power Co Ltd</t>
  </si>
  <si>
    <t>1 KG Bar (995 fineness)</t>
  </si>
  <si>
    <t>TBIL1198</t>
  </si>
  <si>
    <t>IN002016Z129</t>
  </si>
  <si>
    <t>364 Days Tbill (MD 14/09/2017)</t>
  </si>
  <si>
    <t>GOI1528</t>
  </si>
  <si>
    <t>IN0020160019</t>
  </si>
  <si>
    <t>7.61% GOI(MD 09/05/2030)</t>
  </si>
  <si>
    <t>SBI Magnum Multiplier Fund -DIRECT PLAN -Growth</t>
  </si>
  <si>
    <t>ANBA447</t>
  </si>
  <si>
    <t>INE434A16OQ8</t>
  </si>
  <si>
    <t>Andhra Bank CD (MD 10/02/2017)</t>
  </si>
  <si>
    <t>Andhra Bank</t>
  </si>
  <si>
    <t>NBAR329</t>
  </si>
  <si>
    <t>INE261F14AX4</t>
  </si>
  <si>
    <t>National Bank For Agri and Rural CP(MD 06/03/2017)</t>
  </si>
  <si>
    <t>TBIL1218</t>
  </si>
  <si>
    <t>IN002016X348</t>
  </si>
  <si>
    <t>91 Days Tbill (MD 23/02/2017)</t>
  </si>
  <si>
    <t>TBIL1220</t>
  </si>
  <si>
    <t>IN002016X355</t>
  </si>
  <si>
    <t>91 Days Tbill (MD 02/03/2017)</t>
  </si>
  <si>
    <t>TBIL1223</t>
  </si>
  <si>
    <t>IN002016X363</t>
  </si>
  <si>
    <t>91 Days Tbill (MD 09/03/2017)</t>
  </si>
  <si>
    <t>TBIL1232</t>
  </si>
  <si>
    <t>IN002016X389</t>
  </si>
  <si>
    <t>91 Days Tbill (MD 23/03/2017)</t>
  </si>
  <si>
    <t>QIFCBL_020117</t>
  </si>
  <si>
    <t>Holding Statement as on 31.01.2017</t>
  </si>
  <si>
    <t>CBL_010217</t>
  </si>
  <si>
    <t>GOI1364</t>
  </si>
  <si>
    <t>IN0020150051</t>
  </si>
  <si>
    <t>7.73% GOI (MD 19/12/2034)</t>
  </si>
  <si>
    <t>TBIL1199</t>
  </si>
  <si>
    <t>IN002016Y130</t>
  </si>
  <si>
    <t>182 Days Tbill (MD 23/03/2017)</t>
  </si>
  <si>
    <t>QLTEFCBL_010217</t>
  </si>
  <si>
    <t>QDBFCBL_010217</t>
  </si>
  <si>
    <t>QLFCBL_010217</t>
  </si>
  <si>
    <t>QUETFGCBL_010217</t>
  </si>
  <si>
    <t>Portfolio Turnover Ratio (Last One Year) is 16.81%</t>
  </si>
  <si>
    <t>QTSFCBL_010217</t>
  </si>
  <si>
    <t>Portfolio Turnover Ratio (Last One Year) is 16.15%</t>
  </si>
  <si>
    <t>QEFFCBL_010217</t>
  </si>
  <si>
    <t>QGSFCBL_010217</t>
  </si>
  <si>
    <t>QMAFCBL_010217</t>
  </si>
  <si>
    <t>Average Portfolio Maturity at the end of  January 31, 2017 is 27 Days</t>
  </si>
  <si>
    <t>Average Portfolio Maturity at the end of  January 31, 2017 is 8.73 years</t>
  </si>
  <si>
    <t>Portfolio Turnover Ratio (Last One Year) is 16.36%</t>
  </si>
  <si>
    <t>Portfolio Turnover Ratio (last One Year) is 9.92%</t>
  </si>
  <si>
    <t>Portfolio Turnover Ratio (Last One Year) is 0.92%</t>
  </si>
  <si>
    <t>HDFC Mid Cap Opportunities Fund -Direct Plan - Growth Option*</t>
  </si>
  <si>
    <t>Mirae Asset India Opportunities Fund - Direct Plan - Growth*</t>
  </si>
  <si>
    <t>Franklin India High Growth Companies Fund - Direct - Growth*</t>
  </si>
  <si>
    <t>SBI Magnum Multiplier Fund -DIRECT PLAN -Growth*</t>
  </si>
  <si>
    <t>Birla Sun Life Frontline Equity Fund - Growth - Direct Plan*</t>
  </si>
  <si>
    <t>Franklin India PRIMA PLUS - Direct - Growth*</t>
  </si>
  <si>
    <t>ICICI Prudential Focused Bluechip Equity Fund - Direct Plan -  Growth*</t>
  </si>
  <si>
    <t>Monthly Portfolio Statement of the Quantum Equity Fund of Funds for the period ended 31st January 2017</t>
  </si>
  <si>
    <t>Sr.No</t>
  </si>
  <si>
    <t>Name Of The Instrument</t>
  </si>
  <si>
    <t>Industry+/Rating</t>
  </si>
  <si>
    <t>Market/Fair Value(Rs.in Lakhs)</t>
  </si>
  <si>
    <t>% to Nav</t>
  </si>
  <si>
    <t>HDFC Bank Ltd.</t>
  </si>
  <si>
    <t>ICICI Bank Ltd.</t>
  </si>
  <si>
    <t>Infosys Ltd.</t>
  </si>
  <si>
    <t>Axis Bank Ltd.</t>
  </si>
  <si>
    <t>IndusInd Bank Ltd.</t>
  </si>
  <si>
    <t>Larsen &amp; Toubro Ltd.</t>
  </si>
  <si>
    <t>Bharti Airtel Ltd.</t>
  </si>
  <si>
    <t>Indian Oil Corporation Ltd.</t>
  </si>
  <si>
    <t>Maruti Suzuki India Ltd.</t>
  </si>
  <si>
    <t>Tata Motors Ltd. - DVR</t>
  </si>
  <si>
    <t>ITC Ltd.</t>
  </si>
  <si>
    <t>Tata Motors Ltd.</t>
  </si>
  <si>
    <t>Housing Development Finance Corporation Ltd.</t>
  </si>
  <si>
    <t>Tech Mahindra Ltd.</t>
  </si>
  <si>
    <t>Yes Bank Ltd.</t>
  </si>
  <si>
    <t>Kotak Mahindra Bank Ltd.</t>
  </si>
  <si>
    <t>HCL Technologies Ltd.</t>
  </si>
  <si>
    <t>Sun Pharmaceuticals Industries Ltd.</t>
  </si>
  <si>
    <t>Reliance Industries Ltd.</t>
  </si>
  <si>
    <t>Hindustan Petroleum Corporation Ltd.</t>
  </si>
  <si>
    <t>INE094A01015</t>
  </si>
  <si>
    <t>UPL Ltd.</t>
  </si>
  <si>
    <t>INE628A01036</t>
  </si>
  <si>
    <t>Pesticides</t>
  </si>
  <si>
    <t>Grasim Industries Ltd.</t>
  </si>
  <si>
    <t>Lupin Ltd.</t>
  </si>
  <si>
    <t>Aurobindo Pharma Ltd.</t>
  </si>
  <si>
    <t>The Federal Bank  Ltd.</t>
  </si>
  <si>
    <t>INE171A01029</t>
  </si>
  <si>
    <t>Whirlpool of India Ltd.</t>
  </si>
  <si>
    <t>INE716A01013</t>
  </si>
  <si>
    <t>Consumer Durables</t>
  </si>
  <si>
    <t>Hindustan Unilever Ltd.</t>
  </si>
  <si>
    <t>NTPC Ltd.</t>
  </si>
  <si>
    <t>Voltas Ltd.</t>
  </si>
  <si>
    <t>INE226A01021</t>
  </si>
  <si>
    <t>TVS Motor Company Ltd.</t>
  </si>
  <si>
    <t>INE494B01023</t>
  </si>
  <si>
    <t>GAIL (India) Ltd.</t>
  </si>
  <si>
    <t>Bharat Petroleum Corporation Ltd.</t>
  </si>
  <si>
    <t>Hero Motocorp Ltd.</t>
  </si>
  <si>
    <t>Torrent Pharmaceuticals Ltd.</t>
  </si>
  <si>
    <t>INE685A01028</t>
  </si>
  <si>
    <t>Bajaj Auto Ltd.</t>
  </si>
  <si>
    <t>Adani Ports and Special Economic Zone Ltd.</t>
  </si>
  <si>
    <t>Zee Entertainment Enterprises Ltd.</t>
  </si>
  <si>
    <t>Tata Communications Ltd.</t>
  </si>
  <si>
    <t>INE151A01013</t>
  </si>
  <si>
    <t>Aditya Birla Fashion and Retail Ltd.</t>
  </si>
  <si>
    <t>INE647O01011</t>
  </si>
  <si>
    <t>Retailing</t>
  </si>
  <si>
    <t>Cummins India Ltd.</t>
  </si>
  <si>
    <t>INE298A01020</t>
  </si>
  <si>
    <t>Industrial Products</t>
  </si>
  <si>
    <t>Power Grid Corporation of India Ltd.</t>
  </si>
  <si>
    <t>Tata Steel Ltd.</t>
  </si>
  <si>
    <t>Bharat Electronics Ltd.</t>
  </si>
  <si>
    <t>INE263A01016</t>
  </si>
  <si>
    <t>Jubilant Foodworks Ltd.</t>
  </si>
  <si>
    <t>INE797F01012</t>
  </si>
  <si>
    <t>Mahindra &amp; Mahindra Ltd.</t>
  </si>
  <si>
    <t>Titan Company Ltd.</t>
  </si>
  <si>
    <t>INE280A01028</t>
  </si>
  <si>
    <t>SKF India Ltd.</t>
  </si>
  <si>
    <t>INE640A01023</t>
  </si>
  <si>
    <t>Coal India Ltd.</t>
  </si>
  <si>
    <t>Minerals/mining</t>
  </si>
  <si>
    <t>Exide Industries Ltd.</t>
  </si>
  <si>
    <t>Idea Cellular Ltd.</t>
  </si>
  <si>
    <t>Punjab National Bank</t>
  </si>
  <si>
    <t>INE160A01022</t>
  </si>
  <si>
    <t>Sheela Foam Ltd.</t>
  </si>
  <si>
    <t>INE916U01025</t>
  </si>
  <si>
    <t>Cipla Ltd.</t>
  </si>
  <si>
    <t>Tata Consultancy Services Ltd.</t>
  </si>
  <si>
    <t>Cognizant Technology Solutions Corp., A</t>
  </si>
  <si>
    <t>US1924461023</t>
  </si>
  <si>
    <t>Crompton Greaves Consumer Electricals Ltd.</t>
  </si>
  <si>
    <t>INE299U01018</t>
  </si>
  <si>
    <t>Bajaj Finance Ltd.</t>
  </si>
  <si>
    <t>INE296A01024</t>
  </si>
  <si>
    <t>Sanofi India Ltd.</t>
  </si>
  <si>
    <t>INE058A01010</t>
  </si>
  <si>
    <t>Tube Investments of India Ltd.</t>
  </si>
  <si>
    <t>INE149A01025</t>
  </si>
  <si>
    <t>Mahindra &amp; Mahindra Financial Services Ltd.</t>
  </si>
  <si>
    <t>INE774D01024</t>
  </si>
  <si>
    <t>Bajaj Finserv Ltd.</t>
  </si>
  <si>
    <t>INE918I01018</t>
  </si>
  <si>
    <t>Motherson Sumi Systems Ltd.</t>
  </si>
  <si>
    <t>INE775A01035</t>
  </si>
  <si>
    <t>Balkrishna Industries Ltd.</t>
  </si>
  <si>
    <t>INE787D01026</t>
  </si>
  <si>
    <t>Cholamandalam Investment and Finance Company Ltd.</t>
  </si>
  <si>
    <t>INE121A01016</t>
  </si>
  <si>
    <t>Dabur India Ltd.</t>
  </si>
  <si>
    <t>INE016A01026</t>
  </si>
  <si>
    <t>Apollo Tyres Ltd.</t>
  </si>
  <si>
    <t>INE438A01022</t>
  </si>
  <si>
    <t>Jagran Prakashan Ltd.</t>
  </si>
  <si>
    <t>INE199G01027</t>
  </si>
  <si>
    <t>Wipro Ltd.</t>
  </si>
  <si>
    <t>Asian Paints Ltd.</t>
  </si>
  <si>
    <t>Dr. Reddy's Laboratories Ltd.</t>
  </si>
  <si>
    <t>Hexaware Technologies Ltd.</t>
  </si>
  <si>
    <t>INE093A01033</t>
  </si>
  <si>
    <t>Manpasand Beverages Ltd.</t>
  </si>
  <si>
    <t>INE122R01018</t>
  </si>
  <si>
    <t>ICICI Prudential Life Insurance Company Ltd.</t>
  </si>
  <si>
    <t>INE726G01019</t>
  </si>
  <si>
    <t>Pidilite Industries Ltd.</t>
  </si>
  <si>
    <t>INE318A01026</t>
  </si>
  <si>
    <t>Sundram Fasteners Ltd.</t>
  </si>
  <si>
    <t>INE387A01021</t>
  </si>
  <si>
    <t>Strides Shasun Ltd.</t>
  </si>
  <si>
    <t>INE939A01011</t>
  </si>
  <si>
    <t>Nestle India Ltd.</t>
  </si>
  <si>
    <t>INE239A01016</t>
  </si>
  <si>
    <t>Britannia Industries Ltd.</t>
  </si>
  <si>
    <t>INE216A01022</t>
  </si>
  <si>
    <t>Fag Bearings India Ltd.</t>
  </si>
  <si>
    <t>INE513A01014</t>
  </si>
  <si>
    <t>Equitas Holdings Ltd.</t>
  </si>
  <si>
    <t>INE988K01017</t>
  </si>
  <si>
    <t>Ahluwalia Contracts (India) Ltd.</t>
  </si>
  <si>
    <t>INE758C01029</t>
  </si>
  <si>
    <t>Construction</t>
  </si>
  <si>
    <t>Castrol India Ltd.</t>
  </si>
  <si>
    <t>INE172A01027</t>
  </si>
  <si>
    <t>Divi's Laboratories Ltd.</t>
  </si>
  <si>
    <t>INE361B01024</t>
  </si>
  <si>
    <t>UltraTech Cement Ltd.</t>
  </si>
  <si>
    <t>ACC Ltd.</t>
  </si>
  <si>
    <t>Carborundum Universal Ltd.</t>
  </si>
  <si>
    <t>INE120A01034</t>
  </si>
  <si>
    <t>Blue Star Ltd.</t>
  </si>
  <si>
    <t>INE472A01039</t>
  </si>
  <si>
    <t>VST Industries Ltd.</t>
  </si>
  <si>
    <t>INE710A01016</t>
  </si>
  <si>
    <t>Trent Ltd.</t>
  </si>
  <si>
    <t>INE849A01020</t>
  </si>
  <si>
    <t>Cadila Healthcare Ltd.</t>
  </si>
  <si>
    <t>INE010B01027</t>
  </si>
  <si>
    <t>AIA Engineering Ltd.</t>
  </si>
  <si>
    <t>INE212H01026</t>
  </si>
  <si>
    <t>Laurus Labs Ltd.</t>
  </si>
  <si>
    <t>INE947Q01010</t>
  </si>
  <si>
    <t>Indian Bank</t>
  </si>
  <si>
    <t>INE562A01011</t>
  </si>
  <si>
    <t>Dynamatic Technologies Ltd.</t>
  </si>
  <si>
    <t>INE221B01012</t>
  </si>
  <si>
    <t>KNR Constructions Ltd.</t>
  </si>
  <si>
    <t>INE634I01029</t>
  </si>
  <si>
    <t>Sequent Scientific Ltd.</t>
  </si>
  <si>
    <t>INE807F01027</t>
  </si>
  <si>
    <t>Supreme Industries Ltd.</t>
  </si>
  <si>
    <t>INE195A01028</t>
  </si>
  <si>
    <t>Karur Vysya Bank Ltd.</t>
  </si>
  <si>
    <t>INE036D01028</t>
  </si>
  <si>
    <t>United Breweries Ltd.</t>
  </si>
  <si>
    <t>INE686F01025</t>
  </si>
  <si>
    <t>City Union Bank Ltd.</t>
  </si>
  <si>
    <t>INE491A01021</t>
  </si>
  <si>
    <t>MRF Ltd.</t>
  </si>
  <si>
    <t>INE883A01011</t>
  </si>
  <si>
    <t>Tata Chemicals Ltd.</t>
  </si>
  <si>
    <t>Arvind Ltd.</t>
  </si>
  <si>
    <t>INE034A01011</t>
  </si>
  <si>
    <t>Textile Products</t>
  </si>
  <si>
    <t>Disa India Ltd.</t>
  </si>
  <si>
    <t>INE131C01011</t>
  </si>
  <si>
    <t>The Indian Hotels Company Ltd.</t>
  </si>
  <si>
    <t>Petronet LNG Ltd.</t>
  </si>
  <si>
    <t>Greenply Industries Ltd.</t>
  </si>
  <si>
    <t>INE461C01038</t>
  </si>
  <si>
    <t>Navneet Education Ltd.</t>
  </si>
  <si>
    <t>INE060A01024</t>
  </si>
  <si>
    <t>MEDIA &amp; ENTERTAINMENT</t>
  </si>
  <si>
    <t>INOX Leisure Ltd.</t>
  </si>
  <si>
    <t>INE312H01016</t>
  </si>
  <si>
    <t>JK Lakshmi Cement Ltd.</t>
  </si>
  <si>
    <t>INE786A01032</t>
  </si>
  <si>
    <t>Bata India Ltd.</t>
  </si>
  <si>
    <t>INE176A01028</t>
  </si>
  <si>
    <t>Power Finance Corporation Ltd.</t>
  </si>
  <si>
    <t>INE134E01011</t>
  </si>
  <si>
    <t>D.B.Corp Ltd.</t>
  </si>
  <si>
    <t>INE950I01011</t>
  </si>
  <si>
    <t>Orient Cement Ltd.</t>
  </si>
  <si>
    <t>INE876N01018</t>
  </si>
  <si>
    <t>REDINGTON (INDIA) Ltd.</t>
  </si>
  <si>
    <t>INE891D01026</t>
  </si>
  <si>
    <t>Trading</t>
  </si>
  <si>
    <t>NIIT Technologies Ltd.</t>
  </si>
  <si>
    <t>INE591G01017</t>
  </si>
  <si>
    <t>Thyrocare Technologies Ltd.</t>
  </si>
  <si>
    <t>INE594H01019</t>
  </si>
  <si>
    <t>Healthcare Services</t>
  </si>
  <si>
    <t>Credit Analysis and Research Ltd.</t>
  </si>
  <si>
    <t>INE752H01013</t>
  </si>
  <si>
    <t>Marico Ltd.</t>
  </si>
  <si>
    <t>INE196A01026</t>
  </si>
  <si>
    <t>Container Corporation of India Ltd.</t>
  </si>
  <si>
    <t>INE111A01017</t>
  </si>
  <si>
    <t>Lumax Auto Technologies Ltd.</t>
  </si>
  <si>
    <t>INE872H01019</t>
  </si>
  <si>
    <t>KEI Industries Ltd.</t>
  </si>
  <si>
    <t>INE878B01027</t>
  </si>
  <si>
    <t>Lakshmi Machine Works Ltd.</t>
  </si>
  <si>
    <t>INE269B01029</t>
  </si>
  <si>
    <t>Vardhman Textiles Ltd.</t>
  </si>
  <si>
    <t>INE825A01012</t>
  </si>
  <si>
    <t>Textiles - Cotton</t>
  </si>
  <si>
    <t>Union Bank of India</t>
  </si>
  <si>
    <t>INE692A01016</t>
  </si>
  <si>
    <t>IPCA Laboratories Ltd.</t>
  </si>
  <si>
    <t>INE571A01020</t>
  </si>
  <si>
    <t>Muthoot Finance Ltd.</t>
  </si>
  <si>
    <t>INE414G01012</t>
  </si>
  <si>
    <t>Havells India Ltd.</t>
  </si>
  <si>
    <t>INE176B01034</t>
  </si>
  <si>
    <t>Gujarat State Petronet Ltd.</t>
  </si>
  <si>
    <t>INE246F01010</t>
  </si>
  <si>
    <t>Max Financial Services Ltd.</t>
  </si>
  <si>
    <t>INE180A01020</t>
  </si>
  <si>
    <t>Vesuvius India Ltd.</t>
  </si>
  <si>
    <t>INE386A01015</t>
  </si>
  <si>
    <t>Gujarat Pipavav Port Ltd.</t>
  </si>
  <si>
    <t>INE517F01014</t>
  </si>
  <si>
    <t>Steel Authority Of India Ltd.</t>
  </si>
  <si>
    <t>INE114A01011</t>
  </si>
  <si>
    <t>Godrej Consumer Products Ltd.</t>
  </si>
  <si>
    <t>INE102D01028</t>
  </si>
  <si>
    <t>Gateway Distriparks Ltd.</t>
  </si>
  <si>
    <t>INE852F01015</t>
  </si>
  <si>
    <t>Sadbhav Engineering Ltd.</t>
  </si>
  <si>
    <t>INE226H01026</t>
  </si>
  <si>
    <t>Vedanta Ltd.</t>
  </si>
  <si>
    <t>INE205A01025</t>
  </si>
  <si>
    <t>Solar Industries India Ltd.</t>
  </si>
  <si>
    <t>INE343H01029</t>
  </si>
  <si>
    <t>EIH Ltd.</t>
  </si>
  <si>
    <t>INE230A01023</t>
  </si>
  <si>
    <t>HOTELS, RESORTS AND OTHER RECREATIONAL ACTIVITIES</t>
  </si>
  <si>
    <t>Atul Ltd.</t>
  </si>
  <si>
    <t>INE100A01010</t>
  </si>
  <si>
    <t>Vinati Organics Ltd.</t>
  </si>
  <si>
    <t>INE410B01029</t>
  </si>
  <si>
    <t>Oracle Financial Services Software Ltd.</t>
  </si>
  <si>
    <t>INE881D01027</t>
  </si>
  <si>
    <t>eClerx Services Ltd.</t>
  </si>
  <si>
    <t>INE738I01010</t>
  </si>
  <si>
    <t>Shriram City Union Finance Ltd.</t>
  </si>
  <si>
    <t>INE722A01011</t>
  </si>
  <si>
    <t>Dhanuka Agritech Ltd</t>
  </si>
  <si>
    <t>INE435G01025</t>
  </si>
  <si>
    <t>CEAT Ltd.</t>
  </si>
  <si>
    <t>INE482A01020</t>
  </si>
  <si>
    <t>Allahabad Bank</t>
  </si>
  <si>
    <t>INE428A01015</t>
  </si>
  <si>
    <t>Raymond Ltd.</t>
  </si>
  <si>
    <t>INE301A01014</t>
  </si>
  <si>
    <t>Greenlam Industries Ltd.</t>
  </si>
  <si>
    <t>INE544R01013</t>
  </si>
  <si>
    <t>Oil India Ltd.</t>
  </si>
  <si>
    <t>INE274J01014</t>
  </si>
  <si>
    <t>Emami Ltd.</t>
  </si>
  <si>
    <t>INE548C01032</t>
  </si>
  <si>
    <t>Amara Raja Batteries Ltd.</t>
  </si>
  <si>
    <t>INE885A01032</t>
  </si>
  <si>
    <t>Reliance Capital Ltd.</t>
  </si>
  <si>
    <t>INE013A01015</t>
  </si>
  <si>
    <t>Century Textiles &amp; Industries Ltd.</t>
  </si>
  <si>
    <t>INE055A01016</t>
  </si>
  <si>
    <t>LIC Housing Finance Ltd.</t>
  </si>
  <si>
    <t>INE115A01026</t>
  </si>
  <si>
    <t>Info Edge (India) Ltd.</t>
  </si>
  <si>
    <t>INE663F01024</t>
  </si>
  <si>
    <t>ITD Cementation India Ltd.</t>
  </si>
  <si>
    <t>INE686A01026</t>
  </si>
  <si>
    <t>Grindwell Norton Ltd.</t>
  </si>
  <si>
    <t>INE536A01023</t>
  </si>
  <si>
    <t>Huhtamaki PPL Ltd.</t>
  </si>
  <si>
    <t>INE275B01026</t>
  </si>
  <si>
    <t>Max India Ltd.</t>
  </si>
  <si>
    <t>INE153U01017</t>
  </si>
  <si>
    <t>Persistent Systems Ltd.</t>
  </si>
  <si>
    <t>INE262H01013</t>
  </si>
  <si>
    <t>Biocon Ltd.</t>
  </si>
  <si>
    <t>INE376G01013</t>
  </si>
  <si>
    <t>Bosch Ltd.</t>
  </si>
  <si>
    <t>JK Cement Ltd.</t>
  </si>
  <si>
    <t>INE823G01014</t>
  </si>
  <si>
    <t>NRB Bearing Ltd.</t>
  </si>
  <si>
    <t>INE349A01021</t>
  </si>
  <si>
    <t>Bayer Cropscience Ltd.</t>
  </si>
  <si>
    <t>INE462A01022</t>
  </si>
  <si>
    <t>United Spirits Ltd.</t>
  </si>
  <si>
    <t>INE854D01016</t>
  </si>
  <si>
    <t>Thermax Ltd.</t>
  </si>
  <si>
    <t>INE152A01029</t>
  </si>
  <si>
    <t>Crompton  Greaves Ltd.</t>
  </si>
  <si>
    <t>INE067A01029</t>
  </si>
  <si>
    <t>Glenmark Pharmaceuticals Ltd.</t>
  </si>
  <si>
    <t>INE935A01035</t>
  </si>
  <si>
    <t>Bharat Forge Ltd.</t>
  </si>
  <si>
    <t>INE465A01025</t>
  </si>
  <si>
    <t>IRB Infrastructure Developers Ltd.</t>
  </si>
  <si>
    <t>INE821I01014</t>
  </si>
  <si>
    <t>TV18 Broadcast Ltd.</t>
  </si>
  <si>
    <t>INE886H01027</t>
  </si>
  <si>
    <t>Bharat Heavy Electricals Ltd.</t>
  </si>
  <si>
    <t>Akzo Nobel India Ltd.</t>
  </si>
  <si>
    <t>INE133A01011</t>
  </si>
  <si>
    <t>Hindalco Industries Ltd.</t>
  </si>
  <si>
    <t>HT Media Ltd.</t>
  </si>
  <si>
    <t>INE501G01024</t>
  </si>
  <si>
    <t>GlaxoSmithKline Consumer Healthcare Ltd.</t>
  </si>
  <si>
    <t>INE264A01014</t>
  </si>
  <si>
    <t>Aditya Birla Nuvo Ltd.</t>
  </si>
  <si>
    <t>INE069A01017</t>
  </si>
  <si>
    <t>Services</t>
  </si>
  <si>
    <t>Ambuja Cements Ltd.</t>
  </si>
  <si>
    <t>Cairn India Ltd.</t>
  </si>
  <si>
    <t>INE910H01017</t>
  </si>
  <si>
    <t>Greaves Cotton Ltd.</t>
  </si>
  <si>
    <t>INE224A01026</t>
  </si>
  <si>
    <t>Housing Development Finance Corporation Ltd (Warrant)</t>
  </si>
  <si>
    <t>INE001A13031</t>
  </si>
  <si>
    <t>GE Power India Ltd.</t>
  </si>
  <si>
    <t>INE878A01011</t>
  </si>
  <si>
    <t>Colgate Palmolive (India) Ltd.</t>
  </si>
  <si>
    <t>INE259A01022</t>
  </si>
  <si>
    <t>GlaxoSmithKline Pharmaceuticals Ltd.</t>
  </si>
  <si>
    <t>INE159A01016</t>
  </si>
  <si>
    <t>Hindustan Zinc Ltd.</t>
  </si>
  <si>
    <t>INE267A01025</t>
  </si>
  <si>
    <t>Kaveri Seed Company Ltd.</t>
  </si>
  <si>
    <t>INE455I01029</t>
  </si>
  <si>
    <t>Eicher Motors Ltd.</t>
  </si>
  <si>
    <t>DLF Ltd.</t>
  </si>
  <si>
    <t>INE271C01023</t>
  </si>
  <si>
    <t>L&amp;T Finance Holdings Ltd</t>
  </si>
  <si>
    <t>INE498L01015</t>
  </si>
  <si>
    <t>TIMKEN INDIA LTD</t>
  </si>
  <si>
    <t>INE325A01013</t>
  </si>
  <si>
    <t>Sun TV Network Ltd.</t>
  </si>
  <si>
    <t>INE424H01027</t>
  </si>
  <si>
    <t>KEC International Ltd.</t>
  </si>
  <si>
    <t>INE389H01022</t>
  </si>
  <si>
    <t>Berger Paints (I) Ltd.</t>
  </si>
  <si>
    <t>INE463A01038</t>
  </si>
  <si>
    <t>IDFC Ltd.</t>
  </si>
  <si>
    <t>INE043D01016</t>
  </si>
  <si>
    <t>IDFC Bank Ltd.</t>
  </si>
  <si>
    <t>INE092T01019</t>
  </si>
  <si>
    <t>PNB Housing Finance Ltd.</t>
  </si>
  <si>
    <t>INE572E01012</t>
  </si>
  <si>
    <t>Procter &amp; Gamble Hygiene and Health Care Ltd.</t>
  </si>
  <si>
    <t>INE179A01014</t>
  </si>
  <si>
    <t>MindTree Ltd.</t>
  </si>
  <si>
    <t>INE018I01017</t>
  </si>
  <si>
    <t>Wockhardt Ltd.</t>
  </si>
  <si>
    <t>INE049B01025</t>
  </si>
  <si>
    <t>MM Forgings Ltd.</t>
  </si>
  <si>
    <t>INE227C01017</t>
  </si>
  <si>
    <t>Shakti Pumps (India) Ltd.</t>
  </si>
  <si>
    <t>INE908D01010</t>
  </si>
  <si>
    <t>Ashok Leyland Ltd.</t>
  </si>
  <si>
    <t>INE208A01029</t>
  </si>
  <si>
    <t>Gayatri Bioorganics Ltd.</t>
  </si>
  <si>
    <t>INE052E01015</t>
  </si>
  <si>
    <t>Preference Shares</t>
  </si>
  <si>
    <t>INE256A04022</t>
  </si>
  <si>
    <t>Derivatives</t>
  </si>
  <si>
    <t>NA</t>
  </si>
  <si>
    <t>State Bank Of India</t>
  </si>
  <si>
    <t>Unlisted Securities</t>
  </si>
  <si>
    <t>Quantum Information Services</t>
  </si>
  <si>
    <t>INE696201123</t>
  </si>
  <si>
    <t>Numero Uno International Ltd.</t>
  </si>
  <si>
    <t>DBXXNUIL01EQ</t>
  </si>
  <si>
    <t>Quantum Information Systems</t>
  </si>
  <si>
    <t>Jadoonet.Com</t>
  </si>
  <si>
    <t>EQ600401XXXX</t>
  </si>
  <si>
    <t>Padmini Technologies Ltd.</t>
  </si>
  <si>
    <t>INE114B01019</t>
  </si>
  <si>
    <t>Debt Instruments</t>
  </si>
  <si>
    <t>(a)Listed/ Awaiting listing on Stock Exchange</t>
  </si>
  <si>
    <t>(i)Non-Convertible Debentures/Bonds</t>
  </si>
  <si>
    <t>8.49% NTPC Limited (25/03/2025)</t>
  </si>
  <si>
    <t>INE733E07JP6</t>
  </si>
  <si>
    <t>CRISIL AAA</t>
  </si>
  <si>
    <t>Collateralised Borrowing &amp; Lending Obligation</t>
  </si>
  <si>
    <t>Fixed Deposit</t>
  </si>
  <si>
    <t>Kotak Mahindra Bank Ltd. - 27 Feb 2017 (Duration - 91 Days)</t>
  </si>
  <si>
    <t>Hdfc Bank (Duration 365 Days)</t>
  </si>
  <si>
    <t>HDFC Liquid Fund - Direct Plan - Growth Plan</t>
  </si>
  <si>
    <t>INF179K01WT6</t>
  </si>
  <si>
    <t>Mutual Fund</t>
  </si>
  <si>
    <t>Birla Sun Life Cash Plus - Growth - Direct Plan</t>
  </si>
  <si>
    <t>INF209K01VA3</t>
  </si>
  <si>
    <t>CPSE ETF</t>
  </si>
  <si>
    <t>INF457M01133</t>
  </si>
  <si>
    <t>Birla Sun Life Nifty ETF</t>
  </si>
  <si>
    <t>INF209K01IR4</t>
  </si>
  <si>
    <t>Mirae Asset Cash Management Fund - Direct Plan - Growth</t>
  </si>
  <si>
    <t>INF769K01CM1</t>
  </si>
  <si>
    <t>ICICI Prudential Nifty 100 iWIN ETF</t>
  </si>
  <si>
    <t>INF109KA1962</t>
  </si>
  <si>
    <t>Cash &amp; Cash Receivable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</si>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</sst>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00\)"/>
    <numFmt numFmtId="174" formatCode="#,##0.000000;\(#,##0.000000\)"/>
    <numFmt numFmtId="175" formatCode="#,##0.00%"/>
    <numFmt numFmtId="176" formatCode="0.000"/>
    <numFmt numFmtId="177" formatCode="##0.00"/>
  </numFmts>
  <fonts count="21">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b/>
      <sz val="9"/>
      <color indexed="72"/>
      <name val="Arial"/>
      <family val="2"/>
    </font>
    <font>
      <sz val="10"/>
      <name val="SansSerif"/>
    </font>
    <font>
      <sz val="9"/>
      <color indexed="72"/>
      <name val="Arial"/>
      <family val="2"/>
    </font>
    <font>
      <b/>
      <sz val="10"/>
      <color indexed="72"/>
      <name val="SansSerif"/>
    </font>
    <font>
      <sz val="10"/>
      <color indexed="72"/>
      <name val="SansSerif"/>
    </font>
    <font>
      <sz val="10"/>
      <color theme="1" tint="0.14999847407452621"/>
      <name val="Arial"/>
      <family val="2"/>
    </font>
    <font>
      <b/>
      <sz val="9"/>
      <color indexed="9"/>
      <name val="Arial"/>
      <family val="2"/>
    </font>
    <font>
      <b/>
      <sz val="11"/>
      <color theme="1"/>
      <name val="Calibri"/>
      <family val="2"/>
      <scheme val="minor"/>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indexed="30"/>
        <bgColor indexed="64"/>
      </patternFill>
    </fill>
    <fill>
      <patternFill patternType="solid">
        <fgColor indexed="22"/>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8">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xf numFmtId="0" fontId="1" fillId="0" borderId="0"/>
  </cellStyleXfs>
  <cellXfs count="499">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6" borderId="29"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0" fontId="12" fillId="0" borderId="0" xfId="0" applyNumberFormat="1" applyFont="1" applyFill="1" applyBorder="1" applyAlignment="1" applyProtection="1">
      <alignment horizontal="left" vertical="top" wrapText="1"/>
    </xf>
    <xf numFmtId="173" fontId="14" fillId="0" borderId="0" xfId="0" applyNumberFormat="1" applyFont="1" applyFill="1" applyBorder="1" applyAlignment="1" applyProtection="1">
      <alignment horizontal="right" vertical="top" wrapText="1"/>
    </xf>
    <xf numFmtId="0" fontId="15" fillId="0" borderId="0" xfId="0" applyNumberFormat="1" applyFont="1" applyFill="1" applyBorder="1" applyAlignment="1" applyProtection="1">
      <alignment horizontal="left" vertical="top" wrapText="1"/>
    </xf>
    <xf numFmtId="2" fontId="1" fillId="0" borderId="4" xfId="1" applyNumberFormat="1" applyFont="1" applyFill="1" applyBorder="1"/>
    <xf numFmtId="0" fontId="2" fillId="0" borderId="4" xfId="9" applyFont="1" applyFill="1" applyBorder="1" applyAlignment="1">
      <alignment horizontal="left" vertical="top"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6"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0" fontId="1" fillId="3" borderId="4" xfId="10" applyFont="1" applyFill="1" applyBorder="1"/>
    <xf numFmtId="0" fontId="16" fillId="3" borderId="4" xfId="10" applyFont="1" applyFill="1" applyBorder="1"/>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0" fontId="13"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left" vertical="top" wrapText="1"/>
    </xf>
    <xf numFmtId="173" fontId="11" fillId="0" borderId="0" xfId="0" applyNumberFormat="1" applyFont="1" applyFill="1" applyBorder="1" applyAlignment="1" applyProtection="1">
      <alignment horizontal="right" vertical="top" wrapText="1"/>
    </xf>
    <xf numFmtId="175" fontId="11" fillId="0" borderId="0" xfId="0" applyNumberFormat="1" applyFont="1" applyFill="1" applyBorder="1" applyAlignment="1" applyProtection="1">
      <alignment horizontal="right" vertical="top" wrapText="1"/>
    </xf>
    <xf numFmtId="171" fontId="1" fillId="0" borderId="4" xfId="10" applyNumberFormat="1" applyFont="1" applyFill="1" applyBorder="1" applyAlignment="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0" fontId="0" fillId="0" borderId="0" xfId="0" applyNumberFormat="1" applyFont="1" applyFill="1" applyBorder="1" applyAlignment="1"/>
    <xf numFmtId="2" fontId="8" fillId="0" borderId="4" xfId="1" applyNumberFormat="1" applyFont="1" applyFill="1" applyBorder="1" applyAlignment="1"/>
    <xf numFmtId="0" fontId="17" fillId="5" borderId="29" xfId="0" applyNumberFormat="1" applyFont="1" applyFill="1" applyBorder="1" applyAlignment="1" applyProtection="1">
      <alignment horizontal="left" wrapText="1"/>
    </xf>
    <xf numFmtId="173" fontId="0" fillId="0" borderId="0" xfId="0" applyNumberFormat="1"/>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2" fillId="0" borderId="15" xfId="9" applyFont="1" applyFill="1" applyBorder="1" applyAlignment="1">
      <alignment horizontal="left" vertical="top" wrapText="1"/>
    </xf>
    <xf numFmtId="0" fontId="4" fillId="2" borderId="13" xfId="9" applyFont="1" applyFill="1" applyBorder="1"/>
    <xf numFmtId="0" fontId="1" fillId="0" borderId="14" xfId="9" applyFont="1" applyFill="1" applyBorder="1"/>
    <xf numFmtId="0" fontId="2" fillId="0" borderId="4" xfId="10" applyFont="1" applyFill="1" applyBorder="1" applyAlignment="1">
      <alignment horizontal="center" vertical="top" wrapText="1"/>
    </xf>
    <xf numFmtId="0" fontId="1" fillId="0" borderId="4" xfId="10" applyFont="1" applyFill="1" applyBorder="1" applyAlignment="1">
      <alignment vertical="top"/>
    </xf>
    <xf numFmtId="0" fontId="2" fillId="0" borderId="4" xfId="10" applyFont="1" applyFill="1" applyBorder="1" applyAlignment="1">
      <alignment horizontal="right" vertical="top"/>
    </xf>
    <xf numFmtId="0" fontId="0" fillId="0" borderId="0" xfId="0" applyNumberFormat="1" applyFont="1" applyFill="1" applyBorder="1" applyAlignment="1"/>
    <xf numFmtId="14" fontId="13" fillId="0" borderId="29" xfId="0" applyNumberFormat="1" applyFont="1" applyFill="1" applyBorder="1" applyAlignment="1" applyProtection="1">
      <alignment horizontal="left" vertical="top" wrapText="1"/>
    </xf>
    <xf numFmtId="0" fontId="13" fillId="0" borderId="29" xfId="0" applyNumberFormat="1" applyFont="1" applyFill="1" applyBorder="1" applyAlignment="1" applyProtection="1">
      <alignment horizontal="left" vertical="top" wrapText="1"/>
    </xf>
    <xf numFmtId="0" fontId="13" fillId="0" borderId="29" xfId="0" applyNumberFormat="1" applyFont="1" applyFill="1" applyBorder="1" applyAlignment="1" applyProtection="1">
      <alignment horizontal="right" vertical="top" wrapText="1"/>
    </xf>
    <xf numFmtId="173" fontId="11" fillId="0" borderId="29" xfId="0" applyNumberFormat="1" applyFont="1" applyFill="1" applyBorder="1" applyAlignment="1" applyProtection="1">
      <alignment horizontal="right" vertical="top" wrapText="1"/>
    </xf>
    <xf numFmtId="173" fontId="13" fillId="0" borderId="0" xfId="0" applyNumberFormat="1" applyFont="1" applyFill="1" applyBorder="1" applyAlignment="1" applyProtection="1">
      <alignment horizontal="right" vertical="top" wrapText="1"/>
    </xf>
    <xf numFmtId="174" fontId="13" fillId="0" borderId="0" xfId="0" applyNumberFormat="1" applyFont="1" applyFill="1" applyBorder="1" applyAlignment="1" applyProtection="1">
      <alignment horizontal="right" vertical="top" wrapText="1"/>
    </xf>
    <xf numFmtId="175" fontId="13" fillId="0" borderId="0" xfId="0" applyNumberFormat="1" applyFont="1" applyFill="1" applyBorder="1" applyAlignment="1" applyProtection="1">
      <alignment horizontal="right" vertical="top" wrapText="1"/>
    </xf>
    <xf numFmtId="173" fontId="13"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10" fontId="8" fillId="0" borderId="4" xfId="15" applyNumberFormat="1" applyFont="1" applyFill="1" applyBorder="1" applyAlignment="1">
      <alignment horizontal="right"/>
    </xf>
    <xf numFmtId="0" fontId="18" fillId="0" borderId="0" xfId="0" applyNumberFormat="1" applyFont="1" applyFill="1" applyBorder="1" applyAlignment="1"/>
    <xf numFmtId="0" fontId="11"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14" fontId="1" fillId="0" borderId="0" xfId="9" applyNumberFormat="1" applyFont="1" applyFill="1"/>
    <xf numFmtId="15" fontId="1" fillId="0" borderId="0" xfId="9" applyNumberFormat="1" applyFont="1" applyFill="1"/>
    <xf numFmtId="14" fontId="13" fillId="0" borderId="0" xfId="0" applyNumberFormat="1" applyFont="1" applyFill="1" applyBorder="1" applyAlignment="1" applyProtection="1">
      <alignment horizontal="left" vertical="top" wrapText="1"/>
    </xf>
    <xf numFmtId="0" fontId="0" fillId="0" borderId="0" xfId="0" applyNumberFormat="1" applyFill="1" applyBorder="1" applyAlignment="1"/>
    <xf numFmtId="176" fontId="1" fillId="0" borderId="4" xfId="10" applyNumberFormat="1" applyFont="1" applyFill="1" applyBorder="1"/>
    <xf numFmtId="165" fontId="1" fillId="0" borderId="4" xfId="10" applyNumberFormat="1" applyFont="1" applyFill="1" applyBorder="1"/>
    <xf numFmtId="2" fontId="2" fillId="0" borderId="0" xfId="9" applyNumberFormat="1" applyFont="1" applyFill="1"/>
    <xf numFmtId="0" fontId="19" fillId="0" borderId="3" xfId="0" applyFont="1" applyBorder="1"/>
    <xf numFmtId="0" fontId="19" fillId="0" borderId="4" xfId="0" applyFont="1" applyBorder="1"/>
    <xf numFmtId="169" fontId="19" fillId="0" borderId="4" xfId="0" applyNumberFormat="1" applyFont="1" applyBorder="1"/>
    <xf numFmtId="43" fontId="19" fillId="0" borderId="4" xfId="0" applyNumberFormat="1" applyFont="1" applyBorder="1"/>
    <xf numFmtId="2" fontId="19" fillId="0" borderId="5" xfId="0" applyNumberFormat="1" applyFont="1" applyBorder="1"/>
    <xf numFmtId="0" fontId="20" fillId="0" borderId="3" xfId="0" applyFont="1" applyBorder="1"/>
    <xf numFmtId="0" fontId="20" fillId="0" borderId="4" xfId="0" applyFont="1" applyBorder="1"/>
    <xf numFmtId="169" fontId="20" fillId="0" borderId="4" xfId="0" applyNumberFormat="1" applyFont="1" applyBorder="1"/>
    <xf numFmtId="43" fontId="20" fillId="0" borderId="4" xfId="0" applyNumberFormat="1" applyFont="1" applyBorder="1"/>
    <xf numFmtId="2" fontId="20" fillId="0" borderId="5" xfId="0" applyNumberFormat="1" applyFont="1" applyBorder="1"/>
    <xf numFmtId="0" fontId="20" fillId="0" borderId="5" xfId="0" applyFont="1" applyBorder="1"/>
    <xf numFmtId="0" fontId="20" fillId="0" borderId="4" xfId="0" applyFont="1" applyBorder="1" applyAlignment="1"/>
    <xf numFmtId="165" fontId="20" fillId="0" borderId="5" xfId="0" applyNumberFormat="1" applyFont="1" applyBorder="1"/>
    <xf numFmtId="0" fontId="20" fillId="0" borderId="4" xfId="0" applyNumberFormat="1" applyFont="1" applyFill="1" applyBorder="1" applyAlignment="1" applyProtection="1">
      <alignment vertical="top"/>
    </xf>
    <xf numFmtId="2" fontId="20" fillId="0" borderId="4" xfId="0" applyNumberFormat="1" applyFont="1" applyFill="1" applyBorder="1" applyAlignment="1"/>
    <xf numFmtId="0" fontId="20" fillId="0" borderId="4" xfId="0" applyFont="1" applyBorder="1" applyAlignment="1">
      <alignment vertical="center"/>
    </xf>
    <xf numFmtId="0" fontId="20" fillId="0" borderId="4" xfId="17" applyFont="1" applyFill="1" applyBorder="1" applyAlignment="1"/>
    <xf numFmtId="0" fontId="20" fillId="0" borderId="4" xfId="0" applyFont="1" applyBorder="1" applyAlignment="1" applyProtection="1">
      <alignment vertical="top"/>
    </xf>
    <xf numFmtId="177" fontId="20" fillId="0" borderId="4" xfId="0" applyNumberFormat="1" applyFont="1" applyBorder="1" applyAlignment="1" applyProtection="1"/>
    <xf numFmtId="43" fontId="20" fillId="0" borderId="5" xfId="0" applyNumberFormat="1" applyFont="1" applyBorder="1"/>
    <xf numFmtId="0" fontId="19" fillId="0" borderId="4" xfId="0" applyFont="1" applyBorder="1" applyAlignment="1">
      <alignment vertical="center"/>
    </xf>
    <xf numFmtId="0" fontId="20" fillId="0" borderId="6" xfId="0" applyFont="1" applyBorder="1"/>
    <xf numFmtId="0" fontId="19" fillId="0" borderId="7" xfId="0" applyFont="1" applyBorder="1"/>
    <xf numFmtId="0" fontId="20" fillId="0" borderId="7" xfId="0" applyFont="1" applyBorder="1"/>
    <xf numFmtId="169" fontId="20" fillId="0" borderId="7" xfId="0" applyNumberFormat="1" applyFont="1" applyBorder="1"/>
    <xf numFmtId="43" fontId="19" fillId="0" borderId="7" xfId="0" applyNumberFormat="1" applyFont="1" applyBorder="1"/>
    <xf numFmtId="2" fontId="19" fillId="0" borderId="8" xfId="0" applyNumberFormat="1" applyFont="1" applyBorder="1"/>
    <xf numFmtId="0" fontId="20" fillId="0" borderId="0" xfId="0" applyFont="1"/>
    <xf numFmtId="169" fontId="20" fillId="0" borderId="0" xfId="0" applyNumberFormat="1" applyFont="1"/>
    <xf numFmtId="43" fontId="20" fillId="0" borderId="0" xfId="0" applyNumberFormat="1" applyFont="1"/>
    <xf numFmtId="2" fontId="20" fillId="0" borderId="0" xfId="0" applyNumberFormat="1" applyFont="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0" borderId="28" xfId="10" applyFont="1" applyFill="1" applyBorder="1" applyAlignment="1">
      <alignment horizontal="center" vertical="top" wrapText="1"/>
    </xf>
    <xf numFmtId="0" fontId="2" fillId="0"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19" fillId="0" borderId="4" xfId="0" applyFont="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xf numFmtId="0" fontId="11" fillId="0" borderId="0" xfId="0" applyNumberFormat="1" applyFont="1" applyFill="1" applyBorder="1" applyAlignment="1" applyProtection="1">
      <alignment horizontal="left" vertical="top" wrapText="1"/>
    </xf>
    <xf numFmtId="0" fontId="0" fillId="0" borderId="0" xfId="0" applyNumberFormat="1" applyFont="1" applyFill="1" applyBorder="1" applyAlignment="1"/>
  </cellXfs>
  <cellStyles count="18">
    <cellStyle name="_x000a_386grabber=m" xfId="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C23" sqref="C23"/>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441" t="s">
        <v>0</v>
      </c>
      <c r="B1" s="442"/>
      <c r="C1" s="442"/>
      <c r="D1" s="442"/>
      <c r="E1" s="442"/>
      <c r="F1" s="442"/>
      <c r="G1" s="443"/>
      <c r="I1" s="1"/>
    </row>
    <row r="2" spans="1:9" s="2" customFormat="1">
      <c r="A2" s="3"/>
      <c r="B2" s="4"/>
      <c r="C2" s="4"/>
      <c r="D2" s="4"/>
      <c r="E2" s="62"/>
      <c r="F2" s="4"/>
      <c r="G2" s="41"/>
      <c r="I2" s="1"/>
    </row>
    <row r="3" spans="1:9" s="2" customFormat="1">
      <c r="A3" s="444" t="s">
        <v>1</v>
      </c>
      <c r="B3" s="445"/>
      <c r="C3" s="445"/>
      <c r="D3" s="445"/>
      <c r="E3" s="445"/>
      <c r="F3" s="445"/>
      <c r="G3" s="446"/>
      <c r="I3" s="1"/>
    </row>
    <row r="4" spans="1:9" s="2" customFormat="1">
      <c r="A4" s="444" t="s">
        <v>2</v>
      </c>
      <c r="B4" s="445"/>
      <c r="C4" s="445"/>
      <c r="D4" s="445"/>
      <c r="E4" s="445"/>
      <c r="F4" s="445"/>
      <c r="G4" s="446"/>
      <c r="H4" s="1"/>
      <c r="I4" s="1"/>
    </row>
    <row r="5" spans="1:9" s="2" customFormat="1" ht="15" customHeight="1">
      <c r="A5" s="447" t="s">
        <v>134</v>
      </c>
      <c r="B5" s="448"/>
      <c r="C5" s="448"/>
      <c r="D5" s="448"/>
      <c r="E5" s="448"/>
      <c r="F5" s="448"/>
      <c r="G5" s="449"/>
      <c r="H5" s="1"/>
      <c r="I5" s="1"/>
    </row>
    <row r="6" spans="1:9" s="2" customFormat="1" ht="15" customHeight="1">
      <c r="A6" s="447"/>
      <c r="B6" s="448"/>
      <c r="C6" s="448"/>
      <c r="D6" s="448"/>
      <c r="E6" s="448"/>
      <c r="F6" s="448"/>
      <c r="G6" s="449"/>
      <c r="H6" s="1"/>
      <c r="I6" s="1"/>
    </row>
    <row r="7" spans="1:9" s="2" customFormat="1">
      <c r="A7" s="3"/>
      <c r="B7" s="4"/>
      <c r="C7" s="4"/>
      <c r="D7" s="4"/>
      <c r="E7" s="62"/>
      <c r="F7" s="4"/>
      <c r="G7" s="41"/>
      <c r="H7" s="1"/>
      <c r="I7" s="1"/>
    </row>
    <row r="8" spans="1:9" s="2" customFormat="1" ht="13.5" thickBot="1">
      <c r="A8" s="450" t="str">
        <f>"Monthly Portfolio Statement of the Quantum Mutual Fund Schemes for the period ended "&amp;TEXT(C23,"mmmmmmmmmm dd, yyyy")</f>
        <v>Monthly Portfolio Statement of the Quantum Mutual Fund Schemes for the period ended January 31, 2017</v>
      </c>
      <c r="B8" s="451"/>
      <c r="C8" s="451"/>
      <c r="D8" s="451"/>
      <c r="E8" s="451"/>
      <c r="F8" s="451"/>
      <c r="G8" s="452"/>
      <c r="I8" s="1"/>
    </row>
    <row r="11" spans="1:9">
      <c r="B11" s="161" t="s">
        <v>150</v>
      </c>
      <c r="C11" s="161" t="s">
        <v>151</v>
      </c>
    </row>
    <row r="12" spans="1:9" ht="15">
      <c r="B12" s="162" t="s">
        <v>152</v>
      </c>
      <c r="C12" s="163" t="s">
        <v>153</v>
      </c>
    </row>
    <row r="13" spans="1:9" ht="15">
      <c r="B13" s="162" t="s">
        <v>154</v>
      </c>
      <c r="C13" s="163" t="s">
        <v>155</v>
      </c>
    </row>
    <row r="14" spans="1:9" ht="15">
      <c r="B14" s="162" t="s">
        <v>224</v>
      </c>
      <c r="C14" s="337" t="s">
        <v>226</v>
      </c>
    </row>
    <row r="15" spans="1:9" ht="15">
      <c r="B15" s="162" t="s">
        <v>149</v>
      </c>
      <c r="C15" s="163" t="s">
        <v>156</v>
      </c>
    </row>
    <row r="16" spans="1:9" ht="15">
      <c r="B16" s="162" t="s">
        <v>157</v>
      </c>
      <c r="C16" s="163" t="s">
        <v>158</v>
      </c>
    </row>
    <row r="17" spans="2:4" ht="15">
      <c r="B17" s="162" t="s">
        <v>159</v>
      </c>
      <c r="C17" s="163" t="s">
        <v>160</v>
      </c>
    </row>
    <row r="18" spans="2:4" ht="15">
      <c r="B18" s="162" t="s">
        <v>161</v>
      </c>
      <c r="C18" s="163" t="s">
        <v>162</v>
      </c>
    </row>
    <row r="19" spans="2:4" ht="15">
      <c r="B19" s="162" t="s">
        <v>163</v>
      </c>
      <c r="C19" s="163" t="s">
        <v>164</v>
      </c>
    </row>
    <row r="20" spans="2:4" ht="15">
      <c r="B20" s="162" t="s">
        <v>165</v>
      </c>
      <c r="C20" s="163" t="s">
        <v>166</v>
      </c>
    </row>
    <row r="23" spans="2:4">
      <c r="B23" s="160" t="s">
        <v>182</v>
      </c>
      <c r="C23" s="180">
        <v>42766</v>
      </c>
      <c r="D23" s="180"/>
    </row>
    <row r="24" spans="2:4">
      <c r="B24" s="160" t="s">
        <v>203</v>
      </c>
      <c r="C24" s="180">
        <v>42766</v>
      </c>
    </row>
    <row r="25" spans="2:4">
      <c r="B25" s="160" t="s">
        <v>509</v>
      </c>
      <c r="C25" s="180">
        <v>42766</v>
      </c>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topLeftCell="B2" zoomScale="90" zoomScaleNormal="90" workbookViewId="0">
      <selection activeCell="A20" sqref="A1:A1048576"/>
    </sheetView>
  </sheetViews>
  <sheetFormatPr defaultColWidth="9.140625" defaultRowHeight="12.75"/>
  <cols>
    <col min="1" max="1" width="14.28515625" style="2" hidden="1" customWidth="1"/>
    <col min="2" max="2" width="4" style="2" customWidth="1"/>
    <col min="3" max="3" width="53.28515625" style="2" customWidth="1"/>
    <col min="4" max="4" width="22.42578125" style="2" bestFit="1" customWidth="1"/>
    <col min="5" max="5" width="12.42578125" style="2" customWidth="1"/>
    <col min="6" max="6" width="25" style="2" customWidth="1"/>
    <col min="7" max="7" width="9.7109375" style="17" customWidth="1"/>
    <col min="8" max="16384" width="9.140625" style="2"/>
  </cols>
  <sheetData>
    <row r="1" spans="1:7">
      <c r="B1" s="441" t="s">
        <v>0</v>
      </c>
      <c r="C1" s="442"/>
      <c r="D1" s="442"/>
      <c r="E1" s="442"/>
      <c r="F1" s="442"/>
      <c r="G1" s="443"/>
    </row>
    <row r="2" spans="1:7">
      <c r="B2" s="3"/>
      <c r="C2" s="4"/>
      <c r="D2" s="4"/>
      <c r="E2" s="4"/>
      <c r="F2" s="4"/>
      <c r="G2" s="5"/>
    </row>
    <row r="3" spans="1:7">
      <c r="B3" s="444" t="s">
        <v>1</v>
      </c>
      <c r="C3" s="445"/>
      <c r="D3" s="445"/>
      <c r="E3" s="445"/>
      <c r="F3" s="445"/>
      <c r="G3" s="446"/>
    </row>
    <row r="4" spans="1:7">
      <c r="B4" s="444" t="s">
        <v>2</v>
      </c>
      <c r="C4" s="445"/>
      <c r="D4" s="445"/>
      <c r="E4" s="445"/>
      <c r="F4" s="445"/>
      <c r="G4" s="446"/>
    </row>
    <row r="5" spans="1:7" ht="15" customHeight="1">
      <c r="B5" s="493" t="s">
        <v>89</v>
      </c>
      <c r="C5" s="494"/>
      <c r="D5" s="494"/>
      <c r="E5" s="494"/>
      <c r="F5" s="494"/>
      <c r="G5" s="495"/>
    </row>
    <row r="6" spans="1:7" ht="15" customHeight="1">
      <c r="B6" s="493"/>
      <c r="C6" s="494"/>
      <c r="D6" s="494"/>
      <c r="E6" s="494"/>
      <c r="F6" s="494"/>
      <c r="G6" s="495"/>
    </row>
    <row r="7" spans="1:7" ht="6.75" customHeight="1">
      <c r="B7" s="215"/>
      <c r="C7" s="216"/>
      <c r="D7" s="216"/>
      <c r="E7" s="216"/>
      <c r="F7" s="216"/>
      <c r="G7" s="217"/>
    </row>
    <row r="8" spans="1:7">
      <c r="B8" s="444" t="s">
        <v>144</v>
      </c>
      <c r="C8" s="445"/>
      <c r="D8" s="445"/>
      <c r="E8" s="445"/>
      <c r="F8" s="445"/>
      <c r="G8" s="446"/>
    </row>
    <row r="9" spans="1:7">
      <c r="B9" s="6"/>
      <c r="C9" s="42"/>
      <c r="D9" s="4"/>
      <c r="E9" s="4"/>
      <c r="F9" s="4"/>
      <c r="G9" s="5"/>
    </row>
    <row r="10" spans="1:7" ht="15.75" customHeight="1">
      <c r="B10" s="475" t="str">
        <f>"Monthly Portfolio Statement of the Quantum Multi Asset Fund for the period ended "&amp;TEXT(Index!C23,"mmmmmmmmmm dd, yyyy")</f>
        <v>Monthly Portfolio Statement of the Quantum Multi Asset Fund for the period ended January 31, 2017</v>
      </c>
      <c r="C10" s="489"/>
      <c r="D10" s="489"/>
      <c r="E10" s="489"/>
      <c r="F10" s="489"/>
      <c r="G10" s="496"/>
    </row>
    <row r="11" spans="1:7" ht="15.75" customHeight="1">
      <c r="B11" s="218"/>
      <c r="C11" s="219"/>
      <c r="D11" s="219"/>
      <c r="E11" s="219"/>
      <c r="F11" s="219"/>
      <c r="G11" s="220"/>
    </row>
    <row r="12" spans="1:7" s="229" customFormat="1" ht="25.5">
      <c r="B12" s="234" t="s">
        <v>3</v>
      </c>
      <c r="C12" s="227" t="s">
        <v>4</v>
      </c>
      <c r="D12" s="235" t="s">
        <v>97</v>
      </c>
      <c r="E12" s="227" t="s">
        <v>5</v>
      </c>
      <c r="F12" s="227" t="s">
        <v>147</v>
      </c>
      <c r="G12" s="236" t="s">
        <v>6</v>
      </c>
    </row>
    <row r="13" spans="1:7">
      <c r="B13" s="8"/>
      <c r="C13" s="9"/>
      <c r="D13" s="123"/>
      <c r="E13" s="10"/>
      <c r="F13" s="10"/>
      <c r="G13" s="11"/>
    </row>
    <row r="14" spans="1:7">
      <c r="A14" s="2" t="s">
        <v>166</v>
      </c>
      <c r="B14" s="246" t="s">
        <v>219</v>
      </c>
      <c r="C14" s="9" t="s">
        <v>176</v>
      </c>
      <c r="D14" s="123"/>
      <c r="E14" s="10"/>
      <c r="F14" s="10"/>
      <c r="G14" s="11"/>
    </row>
    <row r="15" spans="1:7">
      <c r="B15" s="8"/>
      <c r="C15" s="12"/>
      <c r="D15" s="123"/>
      <c r="E15" s="13"/>
      <c r="F15" s="10"/>
      <c r="G15" s="11"/>
    </row>
    <row r="16" spans="1:7">
      <c r="A16" s="2" t="str">
        <f>$A$14&amp;D16</f>
        <v>QMAFINF082J01036</v>
      </c>
      <c r="B16" s="245">
        <v>1</v>
      </c>
      <c r="C16" s="14" t="s">
        <v>419</v>
      </c>
      <c r="D16" s="123" t="s">
        <v>139</v>
      </c>
      <c r="E16" s="158">
        <f>+VLOOKUP(A16,Holding!A:I,9,0)</f>
        <v>638742.60179999995</v>
      </c>
      <c r="F16" s="157">
        <f>+ROUND(+VLOOKUP(A16,Holding!A:R,18,0)/100000,2)</f>
        <v>296.63</v>
      </c>
      <c r="G16" s="16">
        <f>ROUND(F16/$F$45,4)</f>
        <v>0.3387</v>
      </c>
    </row>
    <row r="17" spans="1:7">
      <c r="A17" s="2" t="str">
        <f>$A$14&amp;D17</f>
        <v>QMAFINF082J01127</v>
      </c>
      <c r="B17" s="245">
        <v>2</v>
      </c>
      <c r="C17" s="14" t="s">
        <v>420</v>
      </c>
      <c r="D17" s="123" t="s">
        <v>140</v>
      </c>
      <c r="E17" s="158">
        <f>+VLOOKUP(A17,Holding!A:I,9,0)</f>
        <v>1106263.5284</v>
      </c>
      <c r="F17" s="157">
        <f>+ROUND(+VLOOKUP(A17,Holding!A:R,18,0)/100000,2)</f>
        <v>246.67</v>
      </c>
      <c r="G17" s="16">
        <f>ROUND(F17/$F$45,4)</f>
        <v>0.28170000000000001</v>
      </c>
    </row>
    <row r="18" spans="1:7">
      <c r="A18" s="2" t="str">
        <f>$A$14&amp;D18</f>
        <v>QMAFINF082J01176</v>
      </c>
      <c r="B18" s="245">
        <v>3</v>
      </c>
      <c r="C18" s="14" t="s">
        <v>421</v>
      </c>
      <c r="D18" s="123" t="s">
        <v>225</v>
      </c>
      <c r="E18" s="158">
        <f>+VLOOKUP(A18,Holding!A:I,9,0)</f>
        <v>930874.05790000001</v>
      </c>
      <c r="F18" s="157">
        <f>+ROUND(+VLOOKUP(A18,Holding!A:R,18,0)/100000,2)</f>
        <v>115.26</v>
      </c>
      <c r="G18" s="16">
        <f>ROUND(F18/$F$45,4)</f>
        <v>0.13159999999999999</v>
      </c>
    </row>
    <row r="19" spans="1:7">
      <c r="B19" s="245"/>
      <c r="C19" s="14"/>
      <c r="D19" s="123"/>
      <c r="E19" s="112"/>
      <c r="F19" s="15"/>
      <c r="G19" s="16"/>
    </row>
    <row r="20" spans="1:7">
      <c r="B20" s="245"/>
      <c r="C20" s="21" t="s">
        <v>217</v>
      </c>
      <c r="D20" s="123"/>
      <c r="E20" s="256"/>
      <c r="F20" s="54">
        <f>SUM(F16:F19)</f>
        <v>658.56</v>
      </c>
      <c r="G20" s="59">
        <f>SUM(G16:G19)</f>
        <v>0.752</v>
      </c>
    </row>
    <row r="21" spans="1:7">
      <c r="B21" s="245"/>
      <c r="C21" s="14"/>
      <c r="D21" s="123"/>
      <c r="E21" s="112"/>
      <c r="F21" s="15"/>
      <c r="G21" s="16"/>
    </row>
    <row r="22" spans="1:7">
      <c r="B22" s="246" t="s">
        <v>220</v>
      </c>
      <c r="C22" s="137" t="s">
        <v>177</v>
      </c>
      <c r="D22" s="123"/>
      <c r="E22" s="112"/>
      <c r="F22" s="15"/>
      <c r="G22" s="16"/>
    </row>
    <row r="23" spans="1:7">
      <c r="B23" s="245"/>
      <c r="C23" s="137"/>
      <c r="D23" s="123"/>
      <c r="E23" s="112"/>
      <c r="F23" s="15"/>
      <c r="G23" s="16"/>
    </row>
    <row r="24" spans="1:7">
      <c r="A24" s="2" t="str">
        <f>$A$14&amp;D24</f>
        <v>QMAFINF082J01028</v>
      </c>
      <c r="B24" s="245">
        <v>2</v>
      </c>
      <c r="C24" s="14" t="s">
        <v>175</v>
      </c>
      <c r="D24" s="123" t="s">
        <v>138</v>
      </c>
      <c r="E24" s="158">
        <f>+VLOOKUP(A24,Holding!A:I,9,0)</f>
        <v>11497</v>
      </c>
      <c r="F24" s="157">
        <f>+ROUND(+VLOOKUP(A24,Holding!A:R,18,0)/100000,2)</f>
        <v>105.77</v>
      </c>
      <c r="G24" s="16">
        <f>ROUND(F24/$F$45,4)</f>
        <v>0.1208</v>
      </c>
    </row>
    <row r="25" spans="1:7">
      <c r="A25" s="2" t="str">
        <f>$A$14&amp;D25</f>
        <v>QMAFINF082J01010</v>
      </c>
      <c r="B25" s="245">
        <v>1</v>
      </c>
      <c r="C25" s="14" t="s">
        <v>174</v>
      </c>
      <c r="D25" s="123" t="s">
        <v>137</v>
      </c>
      <c r="E25" s="158">
        <f>+VLOOKUP(A25,Holding!A:I,9,0)</f>
        <v>7936</v>
      </c>
      <c r="F25" s="157">
        <f>+ROUND(+VLOOKUP(A25,Holding!A:R,18,0)/100000,2)</f>
        <v>103.79</v>
      </c>
      <c r="G25" s="16">
        <f>ROUND(F25/$F$45,4)</f>
        <v>0.11849999999999999</v>
      </c>
    </row>
    <row r="26" spans="1:7">
      <c r="B26" s="245"/>
      <c r="C26" s="14"/>
      <c r="D26" s="123"/>
      <c r="E26" s="15"/>
      <c r="F26" s="15"/>
      <c r="G26" s="16"/>
    </row>
    <row r="27" spans="1:7">
      <c r="B27" s="245"/>
      <c r="C27" s="21" t="s">
        <v>218</v>
      </c>
      <c r="D27" s="124"/>
      <c r="E27" s="54"/>
      <c r="F27" s="54">
        <f>SUM(F24:F26)</f>
        <v>209.56</v>
      </c>
      <c r="G27" s="59">
        <f>SUM(G24:G26)</f>
        <v>0.23930000000000001</v>
      </c>
    </row>
    <row r="28" spans="1:7">
      <c r="B28" s="245"/>
      <c r="C28" s="14"/>
      <c r="D28" s="123"/>
      <c r="E28" s="15"/>
      <c r="F28" s="15"/>
      <c r="G28" s="16"/>
    </row>
    <row r="29" spans="1:7">
      <c r="B29" s="245"/>
      <c r="C29" s="9" t="s">
        <v>221</v>
      </c>
      <c r="D29" s="123"/>
      <c r="E29" s="18"/>
      <c r="F29" s="18">
        <f>+F20+F27</f>
        <v>868.11999999999989</v>
      </c>
      <c r="G29" s="59">
        <f>+G20+G27</f>
        <v>0.99130000000000007</v>
      </c>
    </row>
    <row r="30" spans="1:7">
      <c r="B30" s="245"/>
      <c r="C30" s="9"/>
      <c r="D30" s="123"/>
      <c r="E30" s="18"/>
      <c r="F30" s="18"/>
      <c r="G30" s="19"/>
    </row>
    <row r="31" spans="1:7">
      <c r="B31" s="246"/>
      <c r="C31" s="21" t="s">
        <v>56</v>
      </c>
      <c r="D31" s="124"/>
      <c r="E31" s="18"/>
      <c r="F31" s="18"/>
      <c r="G31" s="19"/>
    </row>
    <row r="32" spans="1:7">
      <c r="B32" s="246"/>
      <c r="C32" s="9"/>
      <c r="D32" s="124"/>
      <c r="E32" s="18"/>
      <c r="F32" s="18"/>
      <c r="G32" s="19"/>
    </row>
    <row r="33" spans="1:8">
      <c r="B33" s="245" t="s">
        <v>7</v>
      </c>
      <c r="C33" s="21" t="s">
        <v>8</v>
      </c>
      <c r="D33" s="123"/>
      <c r="E33" s="205" t="s">
        <v>9</v>
      </c>
      <c r="F33" s="205" t="s">
        <v>9</v>
      </c>
      <c r="G33" s="206" t="s">
        <v>9</v>
      </c>
    </row>
    <row r="34" spans="1:8">
      <c r="B34" s="245" t="s">
        <v>10</v>
      </c>
      <c r="C34" s="9" t="s">
        <v>11</v>
      </c>
      <c r="D34" s="123"/>
      <c r="E34" s="205" t="s">
        <v>9</v>
      </c>
      <c r="F34" s="205" t="s">
        <v>9</v>
      </c>
      <c r="G34" s="206" t="s">
        <v>9</v>
      </c>
    </row>
    <row r="35" spans="1:8">
      <c r="B35" s="245" t="s">
        <v>12</v>
      </c>
      <c r="C35" s="9" t="s">
        <v>13</v>
      </c>
      <c r="D35" s="123"/>
      <c r="E35" s="205" t="s">
        <v>9</v>
      </c>
      <c r="F35" s="205" t="s">
        <v>9</v>
      </c>
      <c r="G35" s="206" t="s">
        <v>9</v>
      </c>
    </row>
    <row r="36" spans="1:8">
      <c r="B36" s="245"/>
      <c r="C36" s="9" t="s">
        <v>86</v>
      </c>
      <c r="D36" s="123"/>
      <c r="E36" s="22"/>
      <c r="F36" s="22" t="s">
        <v>9</v>
      </c>
      <c r="G36" s="23" t="s">
        <v>9</v>
      </c>
    </row>
    <row r="37" spans="1:8">
      <c r="B37" s="245"/>
      <c r="C37" s="9"/>
      <c r="D37" s="123"/>
      <c r="E37" s="18"/>
      <c r="F37" s="18"/>
      <c r="G37" s="19"/>
    </row>
    <row r="38" spans="1:8">
      <c r="B38" s="245"/>
      <c r="C38" s="21" t="s">
        <v>57</v>
      </c>
      <c r="D38" s="123"/>
      <c r="E38" s="18"/>
      <c r="F38" s="18"/>
      <c r="G38" s="19"/>
    </row>
    <row r="39" spans="1:8">
      <c r="B39" s="245"/>
      <c r="C39" s="21"/>
      <c r="D39" s="123"/>
      <c r="E39" s="18"/>
      <c r="F39" s="18"/>
      <c r="G39" s="19"/>
    </row>
    <row r="40" spans="1:8">
      <c r="A40" s="2" t="s">
        <v>623</v>
      </c>
      <c r="B40" s="245" t="s">
        <v>7</v>
      </c>
      <c r="C40" s="10" t="s">
        <v>82</v>
      </c>
      <c r="D40" s="123"/>
      <c r="E40" s="18"/>
      <c r="F40" s="157">
        <f>+ROUND(+VLOOKUP(A40,Holding!A:R,18,0)/100000,2)</f>
        <v>7.67</v>
      </c>
      <c r="G40" s="59">
        <f>ROUND(F40/$F$45,4)</f>
        <v>8.8000000000000005E-3</v>
      </c>
    </row>
    <row r="41" spans="1:8">
      <c r="B41" s="245"/>
      <c r="C41" s="9"/>
      <c r="D41" s="123"/>
      <c r="E41" s="18"/>
      <c r="F41" s="18"/>
      <c r="G41" s="19"/>
    </row>
    <row r="42" spans="1:8">
      <c r="B42" s="8"/>
      <c r="C42" s="9" t="s">
        <v>83</v>
      </c>
      <c r="D42" s="123"/>
      <c r="E42" s="18"/>
      <c r="F42" s="18"/>
      <c r="G42" s="19"/>
    </row>
    <row r="43" spans="1:8">
      <c r="B43" s="8"/>
      <c r="C43" s="14" t="s">
        <v>35</v>
      </c>
      <c r="D43" s="123"/>
      <c r="E43" s="18"/>
      <c r="F43" s="276">
        <f>+F45-F29-F40</f>
        <v>-2.9999999999899885E-2</v>
      </c>
      <c r="G43" s="59">
        <f>+G45-G40-G29</f>
        <v>-1.0000000000010001E-4</v>
      </c>
    </row>
    <row r="44" spans="1:8">
      <c r="B44" s="8"/>
      <c r="C44" s="9"/>
      <c r="D44" s="123"/>
      <c r="E44" s="13"/>
      <c r="F44" s="10"/>
      <c r="G44" s="11"/>
    </row>
    <row r="45" spans="1:8" s="24" customFormat="1">
      <c r="A45" s="24" t="s">
        <v>414</v>
      </c>
      <c r="B45" s="20"/>
      <c r="C45" s="9" t="s">
        <v>14</v>
      </c>
      <c r="D45" s="124"/>
      <c r="E45" s="18"/>
      <c r="F45" s="157">
        <f>+ROUND(+VLOOKUP(A45,Holding!A:R,18,0)/100000,2)</f>
        <v>875.76</v>
      </c>
      <c r="G45" s="19">
        <v>1</v>
      </c>
      <c r="H45" s="2"/>
    </row>
    <row r="46" spans="1:8" ht="13.5" thickBot="1">
      <c r="B46" s="25"/>
      <c r="C46" s="26"/>
      <c r="D46" s="125"/>
      <c r="E46" s="27"/>
      <c r="F46" s="26"/>
      <c r="G46" s="28"/>
    </row>
    <row r="47" spans="1:8">
      <c r="B47" s="29"/>
      <c r="C47" s="292"/>
      <c r="D47" s="292"/>
      <c r="E47" s="293"/>
      <c r="F47" s="293"/>
      <c r="G47" s="32"/>
    </row>
    <row r="48" spans="1:8">
      <c r="B48" s="6" t="s">
        <v>15</v>
      </c>
      <c r="C48" s="278"/>
      <c r="D48" s="109"/>
      <c r="E48" s="109"/>
      <c r="F48" s="109"/>
      <c r="G48" s="41"/>
    </row>
    <row r="49" spans="1:7">
      <c r="B49" s="33" t="s">
        <v>16</v>
      </c>
      <c r="C49" s="109" t="str">
        <f>"Total Non performing Assets provided for and its percentage to NAV as on "&amp;TEXT(Index!C23,"mmmmmmmmmm dd, yyyy")&amp;" - NIL"</f>
        <v>Total Non performing Assets provided for and its percentage to NAV as on January 31, 2017 - NIL</v>
      </c>
      <c r="D49" s="109"/>
      <c r="E49" s="109"/>
      <c r="F49" s="279"/>
      <c r="G49" s="41"/>
    </row>
    <row r="50" spans="1:7">
      <c r="B50" s="33" t="s">
        <v>17</v>
      </c>
      <c r="C50" s="109" t="s">
        <v>19</v>
      </c>
      <c r="D50" s="109"/>
      <c r="E50" s="109"/>
      <c r="F50" s="279"/>
      <c r="G50" s="138"/>
    </row>
    <row r="51" spans="1:7" ht="25.5">
      <c r="B51" s="33"/>
      <c r="C51" s="344" t="s">
        <v>59</v>
      </c>
      <c r="D51" s="352" t="str">
        <f>"As on "&amp;TEXT(Index!C24,"mmmmmmmmmm dd, yyyy")&amp;" (Rs.)"</f>
        <v>As on January 31, 2017 (Rs.)</v>
      </c>
      <c r="E51" s="279"/>
      <c r="F51" s="109"/>
      <c r="G51" s="138"/>
    </row>
    <row r="52" spans="1:7">
      <c r="A52" s="2" t="s">
        <v>379</v>
      </c>
      <c r="B52" s="33"/>
      <c r="C52" s="349" t="s">
        <v>21</v>
      </c>
      <c r="D52" s="408">
        <f>+VLOOKUP(A52,Bloomberg!C:E,3,0)</f>
        <v>15.7034</v>
      </c>
      <c r="E52" s="279"/>
      <c r="F52" s="109"/>
      <c r="G52" s="138"/>
    </row>
    <row r="53" spans="1:7">
      <c r="B53" s="33"/>
      <c r="C53" s="109"/>
      <c r="D53" s="287"/>
      <c r="E53" s="287"/>
      <c r="F53" s="279"/>
      <c r="G53" s="41"/>
    </row>
    <row r="54" spans="1:7">
      <c r="B54" s="33" t="s">
        <v>18</v>
      </c>
      <c r="C54" s="279" t="str">
        <f>"Bonus declared during the period ended  "&amp;TEXT(Index!C23,"mmmmmmmmmm dd, yyyy")&amp;" - NIL"</f>
        <v>Bonus declared during the period ended  January 31, 2017 - NIL</v>
      </c>
      <c r="D54" s="109"/>
      <c r="E54" s="109"/>
      <c r="F54" s="279"/>
      <c r="G54" s="41"/>
    </row>
    <row r="55" spans="1:7">
      <c r="B55" s="33" t="s">
        <v>23</v>
      </c>
      <c r="C55" s="109" t="str">
        <f>"Total outstanding exposure in derivative instruments as on  "&amp;TEXT(Index!C23,"mmmmmmmmmm dd, yyyy")&amp;" - NIL"</f>
        <v>Total outstanding exposure in derivative instruments as on  January 31, 2017 - NIL</v>
      </c>
      <c r="D55" s="109"/>
      <c r="E55" s="109"/>
      <c r="F55" s="279"/>
      <c r="G55" s="41"/>
    </row>
    <row r="56" spans="1:7" ht="28.5" customHeight="1">
      <c r="B56" s="34" t="s">
        <v>24</v>
      </c>
      <c r="C56" s="480"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56" s="485"/>
      <c r="E56" s="485"/>
      <c r="F56" s="485"/>
      <c r="G56" s="41"/>
    </row>
    <row r="57" spans="1:7" ht="14.25">
      <c r="B57" s="33" t="s">
        <v>25</v>
      </c>
      <c r="C57" s="109" t="s">
        <v>211</v>
      </c>
      <c r="D57" s="288"/>
      <c r="E57" s="288"/>
      <c r="F57" s="288"/>
      <c r="G57" s="41"/>
    </row>
    <row r="58" spans="1:7" s="24" customFormat="1">
      <c r="B58" s="33" t="s">
        <v>26</v>
      </c>
      <c r="C58" s="109" t="s">
        <v>188</v>
      </c>
      <c r="D58" s="109"/>
      <c r="E58" s="109"/>
      <c r="F58" s="289"/>
      <c r="G58" s="41"/>
    </row>
    <row r="59" spans="1:7" s="24" customFormat="1">
      <c r="B59" s="33" t="s">
        <v>27</v>
      </c>
      <c r="C59" s="109" t="s">
        <v>189</v>
      </c>
      <c r="D59" s="109"/>
      <c r="E59" s="109"/>
      <c r="F59" s="289"/>
      <c r="G59" s="41"/>
    </row>
    <row r="60" spans="1:7" s="24" customFormat="1">
      <c r="B60" s="33" t="s">
        <v>37</v>
      </c>
      <c r="C60" s="1" t="str">
        <f>"Total Brokerage Paid for Buying/ Selling of Investment for the month ended  "&amp;TEXT(Index!C23,"mmmmmmmmmm dd, yyyy")&amp;" NIL"</f>
        <v>Total Brokerage Paid for Buying/ Selling of Investment for the month ended  January 31, 2017 NIL</v>
      </c>
      <c r="D60" s="109"/>
      <c r="E60" s="109"/>
      <c r="F60" s="289"/>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6" t="s">
        <v>29</v>
      </c>
      <c r="D63" s="37"/>
      <c r="E63" s="37"/>
      <c r="F63" s="139"/>
      <c r="G63" s="65"/>
    </row>
    <row r="64" spans="1:7">
      <c r="D64" s="1"/>
      <c r="E64" s="39"/>
      <c r="F64" s="1"/>
      <c r="G64" s="40"/>
    </row>
    <row r="65" spans="4:5">
      <c r="E65" s="17"/>
    </row>
    <row r="70" spans="4:5">
      <c r="D70" s="114"/>
    </row>
  </sheetData>
  <sortState ref="A24:G25">
    <sortCondition descending="1" ref="G24:G25"/>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topLeftCell="A166" workbookViewId="0">
      <selection activeCell="A180" sqref="A180"/>
    </sheetView>
  </sheetViews>
  <sheetFormatPr defaultRowHeight="15"/>
  <cols>
    <col min="1" max="1" width="9.140625" style="366"/>
    <col min="2" max="2" width="16.85546875" style="366" bestFit="1" customWidth="1"/>
    <col min="3" max="3" width="33.5703125" style="366" bestFit="1" customWidth="1"/>
    <col min="4" max="5" width="16.85546875" style="366" bestFit="1" customWidth="1"/>
    <col min="6" max="6" width="56.42578125" style="366" bestFit="1" customWidth="1"/>
    <col min="7" max="7" width="16.85546875" style="366" bestFit="1" customWidth="1"/>
    <col min="8" max="8" width="33.5703125" style="366" bestFit="1" customWidth="1"/>
    <col min="9" max="36" width="16.85546875" style="366" bestFit="1" customWidth="1"/>
    <col min="37" max="38" width="33.5703125" style="366" bestFit="1" customWidth="1"/>
    <col min="39" max="39" width="16.85546875" style="366" bestFit="1" customWidth="1"/>
    <col min="40" max="256" width="9.140625" style="366"/>
    <col min="257" max="257" width="16.85546875" style="366" bestFit="1" customWidth="1"/>
    <col min="258" max="258" width="33.5703125" style="366" bestFit="1" customWidth="1"/>
    <col min="259" max="262" width="16.85546875" style="366" bestFit="1" customWidth="1"/>
    <col min="263" max="263" width="33.5703125" style="366" bestFit="1" customWidth="1"/>
    <col min="264" max="292" width="16.85546875" style="366" bestFit="1" customWidth="1"/>
    <col min="293" max="294" width="33.5703125" style="366" bestFit="1" customWidth="1"/>
    <col min="295" max="295" width="16.85546875" style="366" bestFit="1" customWidth="1"/>
    <col min="296" max="512" width="9.140625" style="366"/>
    <col min="513" max="513" width="16.85546875" style="366" bestFit="1" customWidth="1"/>
    <col min="514" max="514" width="33.5703125" style="366" bestFit="1" customWidth="1"/>
    <col min="515" max="518" width="16.85546875" style="366" bestFit="1" customWidth="1"/>
    <col min="519" max="519" width="33.5703125" style="366" bestFit="1" customWidth="1"/>
    <col min="520" max="548" width="16.85546875" style="366" bestFit="1" customWidth="1"/>
    <col min="549" max="550" width="33.5703125" style="366" bestFit="1" customWidth="1"/>
    <col min="551" max="551" width="16.85546875" style="366" bestFit="1" customWidth="1"/>
    <col min="552" max="768" width="9.140625" style="366"/>
    <col min="769" max="769" width="16.85546875" style="366" bestFit="1" customWidth="1"/>
    <col min="770" max="770" width="33.5703125" style="366" bestFit="1" customWidth="1"/>
    <col min="771" max="774" width="16.85546875" style="366" bestFit="1" customWidth="1"/>
    <col min="775" max="775" width="33.5703125" style="366" bestFit="1" customWidth="1"/>
    <col min="776" max="804" width="16.85546875" style="366" bestFit="1" customWidth="1"/>
    <col min="805" max="806" width="33.5703125" style="366" bestFit="1" customWidth="1"/>
    <col min="807" max="807" width="16.85546875" style="366" bestFit="1" customWidth="1"/>
    <col min="808" max="1024" width="9.140625" style="366"/>
    <col min="1025" max="1025" width="16.85546875" style="366" bestFit="1" customWidth="1"/>
    <col min="1026" max="1026" width="33.5703125" style="366" bestFit="1" customWidth="1"/>
    <col min="1027" max="1030" width="16.85546875" style="366" bestFit="1" customWidth="1"/>
    <col min="1031" max="1031" width="33.5703125" style="366" bestFit="1" customWidth="1"/>
    <col min="1032" max="1060" width="16.85546875" style="366" bestFit="1" customWidth="1"/>
    <col min="1061" max="1062" width="33.5703125" style="366" bestFit="1" customWidth="1"/>
    <col min="1063" max="1063" width="16.85546875" style="366" bestFit="1" customWidth="1"/>
    <col min="1064" max="1280" width="9.140625" style="366"/>
    <col min="1281" max="1281" width="16.85546875" style="366" bestFit="1" customWidth="1"/>
    <col min="1282" max="1282" width="33.5703125" style="366" bestFit="1" customWidth="1"/>
    <col min="1283" max="1286" width="16.85546875" style="366" bestFit="1" customWidth="1"/>
    <col min="1287" max="1287" width="33.5703125" style="366" bestFit="1" customWidth="1"/>
    <col min="1288" max="1316" width="16.85546875" style="366" bestFit="1" customWidth="1"/>
    <col min="1317" max="1318" width="33.5703125" style="366" bestFit="1" customWidth="1"/>
    <col min="1319" max="1319" width="16.85546875" style="366" bestFit="1" customWidth="1"/>
    <col min="1320" max="1536" width="9.140625" style="366"/>
    <col min="1537" max="1537" width="16.85546875" style="366" bestFit="1" customWidth="1"/>
    <col min="1538" max="1538" width="33.5703125" style="366" bestFit="1" customWidth="1"/>
    <col min="1539" max="1542" width="16.85546875" style="366" bestFit="1" customWidth="1"/>
    <col min="1543" max="1543" width="33.5703125" style="366" bestFit="1" customWidth="1"/>
    <col min="1544" max="1572" width="16.85546875" style="366" bestFit="1" customWidth="1"/>
    <col min="1573" max="1574" width="33.5703125" style="366" bestFit="1" customWidth="1"/>
    <col min="1575" max="1575" width="16.85546875" style="366" bestFit="1" customWidth="1"/>
    <col min="1576" max="1792" width="9.140625" style="366"/>
    <col min="1793" max="1793" width="16.85546875" style="366" bestFit="1" customWidth="1"/>
    <col min="1794" max="1794" width="33.5703125" style="366" bestFit="1" customWidth="1"/>
    <col min="1795" max="1798" width="16.85546875" style="366" bestFit="1" customWidth="1"/>
    <col min="1799" max="1799" width="33.5703125" style="366" bestFit="1" customWidth="1"/>
    <col min="1800" max="1828" width="16.85546875" style="366" bestFit="1" customWidth="1"/>
    <col min="1829" max="1830" width="33.5703125" style="366" bestFit="1" customWidth="1"/>
    <col min="1831" max="1831" width="16.85546875" style="366" bestFit="1" customWidth="1"/>
    <col min="1832" max="2048" width="9.140625" style="366"/>
    <col min="2049" max="2049" width="16.85546875" style="366" bestFit="1" customWidth="1"/>
    <col min="2050" max="2050" width="33.5703125" style="366" bestFit="1" customWidth="1"/>
    <col min="2051" max="2054" width="16.85546875" style="366" bestFit="1" customWidth="1"/>
    <col min="2055" max="2055" width="33.5703125" style="366" bestFit="1" customWidth="1"/>
    <col min="2056" max="2084" width="16.85546875" style="366" bestFit="1" customWidth="1"/>
    <col min="2085" max="2086" width="33.5703125" style="366" bestFit="1" customWidth="1"/>
    <col min="2087" max="2087" width="16.85546875" style="366" bestFit="1" customWidth="1"/>
    <col min="2088" max="2304" width="9.140625" style="366"/>
    <col min="2305" max="2305" width="16.85546875" style="366" bestFit="1" customWidth="1"/>
    <col min="2306" max="2306" width="33.5703125" style="366" bestFit="1" customWidth="1"/>
    <col min="2307" max="2310" width="16.85546875" style="366" bestFit="1" customWidth="1"/>
    <col min="2311" max="2311" width="33.5703125" style="366" bestFit="1" customWidth="1"/>
    <col min="2312" max="2340" width="16.85546875" style="366" bestFit="1" customWidth="1"/>
    <col min="2341" max="2342" width="33.5703125" style="366" bestFit="1" customWidth="1"/>
    <col min="2343" max="2343" width="16.85546875" style="366" bestFit="1" customWidth="1"/>
    <col min="2344" max="2560" width="9.140625" style="366"/>
    <col min="2561" max="2561" width="16.85546875" style="366" bestFit="1" customWidth="1"/>
    <col min="2562" max="2562" width="33.5703125" style="366" bestFit="1" customWidth="1"/>
    <col min="2563" max="2566" width="16.85546875" style="366" bestFit="1" customWidth="1"/>
    <col min="2567" max="2567" width="33.5703125" style="366" bestFit="1" customWidth="1"/>
    <col min="2568" max="2596" width="16.85546875" style="366" bestFit="1" customWidth="1"/>
    <col min="2597" max="2598" width="33.5703125" style="366" bestFit="1" customWidth="1"/>
    <col min="2599" max="2599" width="16.85546875" style="366" bestFit="1" customWidth="1"/>
    <col min="2600" max="2816" width="9.140625" style="366"/>
    <col min="2817" max="2817" width="16.85546875" style="366" bestFit="1" customWidth="1"/>
    <col min="2818" max="2818" width="33.5703125" style="366" bestFit="1" customWidth="1"/>
    <col min="2819" max="2822" width="16.85546875" style="366" bestFit="1" customWidth="1"/>
    <col min="2823" max="2823" width="33.5703125" style="366" bestFit="1" customWidth="1"/>
    <col min="2824" max="2852" width="16.85546875" style="366" bestFit="1" customWidth="1"/>
    <col min="2853" max="2854" width="33.5703125" style="366" bestFit="1" customWidth="1"/>
    <col min="2855" max="2855" width="16.85546875" style="366" bestFit="1" customWidth="1"/>
    <col min="2856" max="3072" width="9.140625" style="366"/>
    <col min="3073" max="3073" width="16.85546875" style="366" bestFit="1" customWidth="1"/>
    <col min="3074" max="3074" width="33.5703125" style="366" bestFit="1" customWidth="1"/>
    <col min="3075" max="3078" width="16.85546875" style="366" bestFit="1" customWidth="1"/>
    <col min="3079" max="3079" width="33.5703125" style="366" bestFit="1" customWidth="1"/>
    <col min="3080" max="3108" width="16.85546875" style="366" bestFit="1" customWidth="1"/>
    <col min="3109" max="3110" width="33.5703125" style="366" bestFit="1" customWidth="1"/>
    <col min="3111" max="3111" width="16.85546875" style="366" bestFit="1" customWidth="1"/>
    <col min="3112" max="3328" width="9.140625" style="366"/>
    <col min="3329" max="3329" width="16.85546875" style="366" bestFit="1" customWidth="1"/>
    <col min="3330" max="3330" width="33.5703125" style="366" bestFit="1" customWidth="1"/>
    <col min="3331" max="3334" width="16.85546875" style="366" bestFit="1" customWidth="1"/>
    <col min="3335" max="3335" width="33.5703125" style="366" bestFit="1" customWidth="1"/>
    <col min="3336" max="3364" width="16.85546875" style="366" bestFit="1" customWidth="1"/>
    <col min="3365" max="3366" width="33.5703125" style="366" bestFit="1" customWidth="1"/>
    <col min="3367" max="3367" width="16.85546875" style="366" bestFit="1" customWidth="1"/>
    <col min="3368" max="3584" width="9.140625" style="366"/>
    <col min="3585" max="3585" width="16.85546875" style="366" bestFit="1" customWidth="1"/>
    <col min="3586" max="3586" width="33.5703125" style="366" bestFit="1" customWidth="1"/>
    <col min="3587" max="3590" width="16.85546875" style="366" bestFit="1" customWidth="1"/>
    <col min="3591" max="3591" width="33.5703125" style="366" bestFit="1" customWidth="1"/>
    <col min="3592" max="3620" width="16.85546875" style="366" bestFit="1" customWidth="1"/>
    <col min="3621" max="3622" width="33.5703125" style="366" bestFit="1" customWidth="1"/>
    <col min="3623" max="3623" width="16.85546875" style="366" bestFit="1" customWidth="1"/>
    <col min="3624" max="3840" width="9.140625" style="366"/>
    <col min="3841" max="3841" width="16.85546875" style="366" bestFit="1" customWidth="1"/>
    <col min="3842" max="3842" width="33.5703125" style="366" bestFit="1" customWidth="1"/>
    <col min="3843" max="3846" width="16.85546875" style="366" bestFit="1" customWidth="1"/>
    <col min="3847" max="3847" width="33.5703125" style="366" bestFit="1" customWidth="1"/>
    <col min="3848" max="3876" width="16.85546875" style="366" bestFit="1" customWidth="1"/>
    <col min="3877" max="3878" width="33.5703125" style="366" bestFit="1" customWidth="1"/>
    <col min="3879" max="3879" width="16.85546875" style="366" bestFit="1" customWidth="1"/>
    <col min="3880" max="4096" width="9.140625" style="366"/>
    <col min="4097" max="4097" width="16.85546875" style="366" bestFit="1" customWidth="1"/>
    <col min="4098" max="4098" width="33.5703125" style="366" bestFit="1" customWidth="1"/>
    <col min="4099" max="4102" width="16.85546875" style="366" bestFit="1" customWidth="1"/>
    <col min="4103" max="4103" width="33.5703125" style="366" bestFit="1" customWidth="1"/>
    <col min="4104" max="4132" width="16.85546875" style="366" bestFit="1" customWidth="1"/>
    <col min="4133" max="4134" width="33.5703125" style="366" bestFit="1" customWidth="1"/>
    <col min="4135" max="4135" width="16.85546875" style="366" bestFit="1" customWidth="1"/>
    <col min="4136" max="4352" width="9.140625" style="366"/>
    <col min="4353" max="4353" width="16.85546875" style="366" bestFit="1" customWidth="1"/>
    <col min="4354" max="4354" width="33.5703125" style="366" bestFit="1" customWidth="1"/>
    <col min="4355" max="4358" width="16.85546875" style="366" bestFit="1" customWidth="1"/>
    <col min="4359" max="4359" width="33.5703125" style="366" bestFit="1" customWidth="1"/>
    <col min="4360" max="4388" width="16.85546875" style="366" bestFit="1" customWidth="1"/>
    <col min="4389" max="4390" width="33.5703125" style="366" bestFit="1" customWidth="1"/>
    <col min="4391" max="4391" width="16.85546875" style="366" bestFit="1" customWidth="1"/>
    <col min="4392" max="4608" width="9.140625" style="366"/>
    <col min="4609" max="4609" width="16.85546875" style="366" bestFit="1" customWidth="1"/>
    <col min="4610" max="4610" width="33.5703125" style="366" bestFit="1" customWidth="1"/>
    <col min="4611" max="4614" width="16.85546875" style="366" bestFit="1" customWidth="1"/>
    <col min="4615" max="4615" width="33.5703125" style="366" bestFit="1" customWidth="1"/>
    <col min="4616" max="4644" width="16.85546875" style="366" bestFit="1" customWidth="1"/>
    <col min="4645" max="4646" width="33.5703125" style="366" bestFit="1" customWidth="1"/>
    <col min="4647" max="4647" width="16.85546875" style="366" bestFit="1" customWidth="1"/>
    <col min="4648" max="4864" width="9.140625" style="366"/>
    <col min="4865" max="4865" width="16.85546875" style="366" bestFit="1" customWidth="1"/>
    <col min="4866" max="4866" width="33.5703125" style="366" bestFit="1" customWidth="1"/>
    <col min="4867" max="4870" width="16.85546875" style="366" bestFit="1" customWidth="1"/>
    <col min="4871" max="4871" width="33.5703125" style="366" bestFit="1" customWidth="1"/>
    <col min="4872" max="4900" width="16.85546875" style="366" bestFit="1" customWidth="1"/>
    <col min="4901" max="4902" width="33.5703125" style="366" bestFit="1" customWidth="1"/>
    <col min="4903" max="4903" width="16.85546875" style="366" bestFit="1" customWidth="1"/>
    <col min="4904" max="5120" width="9.140625" style="366"/>
    <col min="5121" max="5121" width="16.85546875" style="366" bestFit="1" customWidth="1"/>
    <col min="5122" max="5122" width="33.5703125" style="366" bestFit="1" customWidth="1"/>
    <col min="5123" max="5126" width="16.85546875" style="366" bestFit="1" customWidth="1"/>
    <col min="5127" max="5127" width="33.5703125" style="366" bestFit="1" customWidth="1"/>
    <col min="5128" max="5156" width="16.85546875" style="366" bestFit="1" customWidth="1"/>
    <col min="5157" max="5158" width="33.5703125" style="366" bestFit="1" customWidth="1"/>
    <col min="5159" max="5159" width="16.85546875" style="366" bestFit="1" customWidth="1"/>
    <col min="5160" max="5376" width="9.140625" style="366"/>
    <col min="5377" max="5377" width="16.85546875" style="366" bestFit="1" customWidth="1"/>
    <col min="5378" max="5378" width="33.5703125" style="366" bestFit="1" customWidth="1"/>
    <col min="5379" max="5382" width="16.85546875" style="366" bestFit="1" customWidth="1"/>
    <col min="5383" max="5383" width="33.5703125" style="366" bestFit="1" customWidth="1"/>
    <col min="5384" max="5412" width="16.85546875" style="366" bestFit="1" customWidth="1"/>
    <col min="5413" max="5414" width="33.5703125" style="366" bestFit="1" customWidth="1"/>
    <col min="5415" max="5415" width="16.85546875" style="366" bestFit="1" customWidth="1"/>
    <col min="5416" max="5632" width="9.140625" style="366"/>
    <col min="5633" max="5633" width="16.85546875" style="366" bestFit="1" customWidth="1"/>
    <col min="5634" max="5634" width="33.5703125" style="366" bestFit="1" customWidth="1"/>
    <col min="5635" max="5638" width="16.85546875" style="366" bestFit="1" customWidth="1"/>
    <col min="5639" max="5639" width="33.5703125" style="366" bestFit="1" customWidth="1"/>
    <col min="5640" max="5668" width="16.85546875" style="366" bestFit="1" customWidth="1"/>
    <col min="5669" max="5670" width="33.5703125" style="366" bestFit="1" customWidth="1"/>
    <col min="5671" max="5671" width="16.85546875" style="366" bestFit="1" customWidth="1"/>
    <col min="5672" max="5888" width="9.140625" style="366"/>
    <col min="5889" max="5889" width="16.85546875" style="366" bestFit="1" customWidth="1"/>
    <col min="5890" max="5890" width="33.5703125" style="366" bestFit="1" customWidth="1"/>
    <col min="5891" max="5894" width="16.85546875" style="366" bestFit="1" customWidth="1"/>
    <col min="5895" max="5895" width="33.5703125" style="366" bestFit="1" customWidth="1"/>
    <col min="5896" max="5924" width="16.85546875" style="366" bestFit="1" customWidth="1"/>
    <col min="5925" max="5926" width="33.5703125" style="366" bestFit="1" customWidth="1"/>
    <col min="5927" max="5927" width="16.85546875" style="366" bestFit="1" customWidth="1"/>
    <col min="5928" max="6144" width="9.140625" style="366"/>
    <col min="6145" max="6145" width="16.85546875" style="366" bestFit="1" customWidth="1"/>
    <col min="6146" max="6146" width="33.5703125" style="366" bestFit="1" customWidth="1"/>
    <col min="6147" max="6150" width="16.85546875" style="366" bestFit="1" customWidth="1"/>
    <col min="6151" max="6151" width="33.5703125" style="366" bestFit="1" customWidth="1"/>
    <col min="6152" max="6180" width="16.85546875" style="366" bestFit="1" customWidth="1"/>
    <col min="6181" max="6182" width="33.5703125" style="366" bestFit="1" customWidth="1"/>
    <col min="6183" max="6183" width="16.85546875" style="366" bestFit="1" customWidth="1"/>
    <col min="6184" max="6400" width="9.140625" style="366"/>
    <col min="6401" max="6401" width="16.85546875" style="366" bestFit="1" customWidth="1"/>
    <col min="6402" max="6402" width="33.5703125" style="366" bestFit="1" customWidth="1"/>
    <col min="6403" max="6406" width="16.85546875" style="366" bestFit="1" customWidth="1"/>
    <col min="6407" max="6407" width="33.5703125" style="366" bestFit="1" customWidth="1"/>
    <col min="6408" max="6436" width="16.85546875" style="366" bestFit="1" customWidth="1"/>
    <col min="6437" max="6438" width="33.5703125" style="366" bestFit="1" customWidth="1"/>
    <col min="6439" max="6439" width="16.85546875" style="366" bestFit="1" customWidth="1"/>
    <col min="6440" max="6656" width="9.140625" style="366"/>
    <col min="6657" max="6657" width="16.85546875" style="366" bestFit="1" customWidth="1"/>
    <col min="6658" max="6658" width="33.5703125" style="366" bestFit="1" customWidth="1"/>
    <col min="6659" max="6662" width="16.85546875" style="366" bestFit="1" customWidth="1"/>
    <col min="6663" max="6663" width="33.5703125" style="366" bestFit="1" customWidth="1"/>
    <col min="6664" max="6692" width="16.85546875" style="366" bestFit="1" customWidth="1"/>
    <col min="6693" max="6694" width="33.5703125" style="366" bestFit="1" customWidth="1"/>
    <col min="6695" max="6695" width="16.85546875" style="366" bestFit="1" customWidth="1"/>
    <col min="6696" max="6912" width="9.140625" style="366"/>
    <col min="6913" max="6913" width="16.85546875" style="366" bestFit="1" customWidth="1"/>
    <col min="6914" max="6914" width="33.5703125" style="366" bestFit="1" customWidth="1"/>
    <col min="6915" max="6918" width="16.85546875" style="366" bestFit="1" customWidth="1"/>
    <col min="6919" max="6919" width="33.5703125" style="366" bestFit="1" customWidth="1"/>
    <col min="6920" max="6948" width="16.85546875" style="366" bestFit="1" customWidth="1"/>
    <col min="6949" max="6950" width="33.5703125" style="366" bestFit="1" customWidth="1"/>
    <col min="6951" max="6951" width="16.85546875" style="366" bestFit="1" customWidth="1"/>
    <col min="6952" max="7168" width="9.140625" style="366"/>
    <col min="7169" max="7169" width="16.85546875" style="366" bestFit="1" customWidth="1"/>
    <col min="7170" max="7170" width="33.5703125" style="366" bestFit="1" customWidth="1"/>
    <col min="7171" max="7174" width="16.85546875" style="366" bestFit="1" customWidth="1"/>
    <col min="7175" max="7175" width="33.5703125" style="366" bestFit="1" customWidth="1"/>
    <col min="7176" max="7204" width="16.85546875" style="366" bestFit="1" customWidth="1"/>
    <col min="7205" max="7206" width="33.5703125" style="366" bestFit="1" customWidth="1"/>
    <col min="7207" max="7207" width="16.85546875" style="366" bestFit="1" customWidth="1"/>
    <col min="7208" max="7424" width="9.140625" style="366"/>
    <col min="7425" max="7425" width="16.85546875" style="366" bestFit="1" customWidth="1"/>
    <col min="7426" max="7426" width="33.5703125" style="366" bestFit="1" customWidth="1"/>
    <col min="7427" max="7430" width="16.85546875" style="366" bestFit="1" customWidth="1"/>
    <col min="7431" max="7431" width="33.5703125" style="366" bestFit="1" customWidth="1"/>
    <col min="7432" max="7460" width="16.85546875" style="366" bestFit="1" customWidth="1"/>
    <col min="7461" max="7462" width="33.5703125" style="366" bestFit="1" customWidth="1"/>
    <col min="7463" max="7463" width="16.85546875" style="366" bestFit="1" customWidth="1"/>
    <col min="7464" max="7680" width="9.140625" style="366"/>
    <col min="7681" max="7681" width="16.85546875" style="366" bestFit="1" customWidth="1"/>
    <col min="7682" max="7682" width="33.5703125" style="366" bestFit="1" customWidth="1"/>
    <col min="7683" max="7686" width="16.85546875" style="366" bestFit="1" customWidth="1"/>
    <col min="7687" max="7687" width="33.5703125" style="366" bestFit="1" customWidth="1"/>
    <col min="7688" max="7716" width="16.85546875" style="366" bestFit="1" customWidth="1"/>
    <col min="7717" max="7718" width="33.5703125" style="366" bestFit="1" customWidth="1"/>
    <col min="7719" max="7719" width="16.85546875" style="366" bestFit="1" customWidth="1"/>
    <col min="7720" max="7936" width="9.140625" style="366"/>
    <col min="7937" max="7937" width="16.85546875" style="366" bestFit="1" customWidth="1"/>
    <col min="7938" max="7938" width="33.5703125" style="366" bestFit="1" customWidth="1"/>
    <col min="7939" max="7942" width="16.85546875" style="366" bestFit="1" customWidth="1"/>
    <col min="7943" max="7943" width="33.5703125" style="366" bestFit="1" customWidth="1"/>
    <col min="7944" max="7972" width="16.85546875" style="366" bestFit="1" customWidth="1"/>
    <col min="7973" max="7974" width="33.5703125" style="366" bestFit="1" customWidth="1"/>
    <col min="7975" max="7975" width="16.85546875" style="366" bestFit="1" customWidth="1"/>
    <col min="7976" max="8192" width="9.140625" style="366"/>
    <col min="8193" max="8193" width="16.85546875" style="366" bestFit="1" customWidth="1"/>
    <col min="8194" max="8194" width="33.5703125" style="366" bestFit="1" customWidth="1"/>
    <col min="8195" max="8198" width="16.85546875" style="366" bestFit="1" customWidth="1"/>
    <col min="8199" max="8199" width="33.5703125" style="366" bestFit="1" customWidth="1"/>
    <col min="8200" max="8228" width="16.85546875" style="366" bestFit="1" customWidth="1"/>
    <col min="8229" max="8230" width="33.5703125" style="366" bestFit="1" customWidth="1"/>
    <col min="8231" max="8231" width="16.85546875" style="366" bestFit="1" customWidth="1"/>
    <col min="8232" max="8448" width="9.140625" style="366"/>
    <col min="8449" max="8449" width="16.85546875" style="366" bestFit="1" customWidth="1"/>
    <col min="8450" max="8450" width="33.5703125" style="366" bestFit="1" customWidth="1"/>
    <col min="8451" max="8454" width="16.85546875" style="366" bestFit="1" customWidth="1"/>
    <col min="8455" max="8455" width="33.5703125" style="366" bestFit="1" customWidth="1"/>
    <col min="8456" max="8484" width="16.85546875" style="366" bestFit="1" customWidth="1"/>
    <col min="8485" max="8486" width="33.5703125" style="366" bestFit="1" customWidth="1"/>
    <col min="8487" max="8487" width="16.85546875" style="366" bestFit="1" customWidth="1"/>
    <col min="8488" max="8704" width="9.140625" style="366"/>
    <col min="8705" max="8705" width="16.85546875" style="366" bestFit="1" customWidth="1"/>
    <col min="8706" max="8706" width="33.5703125" style="366" bestFit="1" customWidth="1"/>
    <col min="8707" max="8710" width="16.85546875" style="366" bestFit="1" customWidth="1"/>
    <col min="8711" max="8711" width="33.5703125" style="366" bestFit="1" customWidth="1"/>
    <col min="8712" max="8740" width="16.85546875" style="366" bestFit="1" customWidth="1"/>
    <col min="8741" max="8742" width="33.5703125" style="366" bestFit="1" customWidth="1"/>
    <col min="8743" max="8743" width="16.85546875" style="366" bestFit="1" customWidth="1"/>
    <col min="8744" max="8960" width="9.140625" style="366"/>
    <col min="8961" max="8961" width="16.85546875" style="366" bestFit="1" customWidth="1"/>
    <col min="8962" max="8962" width="33.5703125" style="366" bestFit="1" customWidth="1"/>
    <col min="8963" max="8966" width="16.85546875" style="366" bestFit="1" customWidth="1"/>
    <col min="8967" max="8967" width="33.5703125" style="366" bestFit="1" customWidth="1"/>
    <col min="8968" max="8996" width="16.85546875" style="366" bestFit="1" customWidth="1"/>
    <col min="8997" max="8998" width="33.5703125" style="366" bestFit="1" customWidth="1"/>
    <col min="8999" max="8999" width="16.85546875" style="366" bestFit="1" customWidth="1"/>
    <col min="9000" max="9216" width="9.140625" style="366"/>
    <col min="9217" max="9217" width="16.85546875" style="366" bestFit="1" customWidth="1"/>
    <col min="9218" max="9218" width="33.5703125" style="366" bestFit="1" customWidth="1"/>
    <col min="9219" max="9222" width="16.85546875" style="366" bestFit="1" customWidth="1"/>
    <col min="9223" max="9223" width="33.5703125" style="366" bestFit="1" customWidth="1"/>
    <col min="9224" max="9252" width="16.85546875" style="366" bestFit="1" customWidth="1"/>
    <col min="9253" max="9254" width="33.5703125" style="366" bestFit="1" customWidth="1"/>
    <col min="9255" max="9255" width="16.85546875" style="366" bestFit="1" customWidth="1"/>
    <col min="9256" max="9472" width="9.140625" style="366"/>
    <col min="9473" max="9473" width="16.85546875" style="366" bestFit="1" customWidth="1"/>
    <col min="9474" max="9474" width="33.5703125" style="366" bestFit="1" customWidth="1"/>
    <col min="9475" max="9478" width="16.85546875" style="366" bestFit="1" customWidth="1"/>
    <col min="9479" max="9479" width="33.5703125" style="366" bestFit="1" customWidth="1"/>
    <col min="9480" max="9508" width="16.85546875" style="366" bestFit="1" customWidth="1"/>
    <col min="9509" max="9510" width="33.5703125" style="366" bestFit="1" customWidth="1"/>
    <col min="9511" max="9511" width="16.85546875" style="366" bestFit="1" customWidth="1"/>
    <col min="9512" max="9728" width="9.140625" style="366"/>
    <col min="9729" max="9729" width="16.85546875" style="366" bestFit="1" customWidth="1"/>
    <col min="9730" max="9730" width="33.5703125" style="366" bestFit="1" customWidth="1"/>
    <col min="9731" max="9734" width="16.85546875" style="366" bestFit="1" customWidth="1"/>
    <col min="9735" max="9735" width="33.5703125" style="366" bestFit="1" customWidth="1"/>
    <col min="9736" max="9764" width="16.85546875" style="366" bestFit="1" customWidth="1"/>
    <col min="9765" max="9766" width="33.5703125" style="366" bestFit="1" customWidth="1"/>
    <col min="9767" max="9767" width="16.85546875" style="366" bestFit="1" customWidth="1"/>
    <col min="9768" max="9984" width="9.140625" style="366"/>
    <col min="9985" max="9985" width="16.85546875" style="366" bestFit="1" customWidth="1"/>
    <col min="9986" max="9986" width="33.5703125" style="366" bestFit="1" customWidth="1"/>
    <col min="9987" max="9990" width="16.85546875" style="366" bestFit="1" customWidth="1"/>
    <col min="9991" max="9991" width="33.5703125" style="366" bestFit="1" customWidth="1"/>
    <col min="9992" max="10020" width="16.85546875" style="366" bestFit="1" customWidth="1"/>
    <col min="10021" max="10022" width="33.5703125" style="366" bestFit="1" customWidth="1"/>
    <col min="10023" max="10023" width="16.85546875" style="366" bestFit="1" customWidth="1"/>
    <col min="10024" max="10240" width="9.140625" style="366"/>
    <col min="10241" max="10241" width="16.85546875" style="366" bestFit="1" customWidth="1"/>
    <col min="10242" max="10242" width="33.5703125" style="366" bestFit="1" customWidth="1"/>
    <col min="10243" max="10246" width="16.85546875" style="366" bestFit="1" customWidth="1"/>
    <col min="10247" max="10247" width="33.5703125" style="366" bestFit="1" customWidth="1"/>
    <col min="10248" max="10276" width="16.85546875" style="366" bestFit="1" customWidth="1"/>
    <col min="10277" max="10278" width="33.5703125" style="366" bestFit="1" customWidth="1"/>
    <col min="10279" max="10279" width="16.85546875" style="366" bestFit="1" customWidth="1"/>
    <col min="10280" max="10496" width="9.140625" style="366"/>
    <col min="10497" max="10497" width="16.85546875" style="366" bestFit="1" customWidth="1"/>
    <col min="10498" max="10498" width="33.5703125" style="366" bestFit="1" customWidth="1"/>
    <col min="10499" max="10502" width="16.85546875" style="366" bestFit="1" customWidth="1"/>
    <col min="10503" max="10503" width="33.5703125" style="366" bestFit="1" customWidth="1"/>
    <col min="10504" max="10532" width="16.85546875" style="366" bestFit="1" customWidth="1"/>
    <col min="10533" max="10534" width="33.5703125" style="366" bestFit="1" customWidth="1"/>
    <col min="10535" max="10535" width="16.85546875" style="366" bestFit="1" customWidth="1"/>
    <col min="10536" max="10752" width="9.140625" style="366"/>
    <col min="10753" max="10753" width="16.85546875" style="366" bestFit="1" customWidth="1"/>
    <col min="10754" max="10754" width="33.5703125" style="366" bestFit="1" customWidth="1"/>
    <col min="10755" max="10758" width="16.85546875" style="366" bestFit="1" customWidth="1"/>
    <col min="10759" max="10759" width="33.5703125" style="366" bestFit="1" customWidth="1"/>
    <col min="10760" max="10788" width="16.85546875" style="366" bestFit="1" customWidth="1"/>
    <col min="10789" max="10790" width="33.5703125" style="366" bestFit="1" customWidth="1"/>
    <col min="10791" max="10791" width="16.85546875" style="366" bestFit="1" customWidth="1"/>
    <col min="10792" max="11008" width="9.140625" style="366"/>
    <col min="11009" max="11009" width="16.85546875" style="366" bestFit="1" customWidth="1"/>
    <col min="11010" max="11010" width="33.5703125" style="366" bestFit="1" customWidth="1"/>
    <col min="11011" max="11014" width="16.85546875" style="366" bestFit="1" customWidth="1"/>
    <col min="11015" max="11015" width="33.5703125" style="366" bestFit="1" customWidth="1"/>
    <col min="11016" max="11044" width="16.85546875" style="366" bestFit="1" customWidth="1"/>
    <col min="11045" max="11046" width="33.5703125" style="366" bestFit="1" customWidth="1"/>
    <col min="11047" max="11047" width="16.85546875" style="366" bestFit="1" customWidth="1"/>
    <col min="11048" max="11264" width="9.140625" style="366"/>
    <col min="11265" max="11265" width="16.85546875" style="366" bestFit="1" customWidth="1"/>
    <col min="11266" max="11266" width="33.5703125" style="366" bestFit="1" customWidth="1"/>
    <col min="11267" max="11270" width="16.85546875" style="366" bestFit="1" customWidth="1"/>
    <col min="11271" max="11271" width="33.5703125" style="366" bestFit="1" customWidth="1"/>
    <col min="11272" max="11300" width="16.85546875" style="366" bestFit="1" customWidth="1"/>
    <col min="11301" max="11302" width="33.5703125" style="366" bestFit="1" customWidth="1"/>
    <col min="11303" max="11303" width="16.85546875" style="366" bestFit="1" customWidth="1"/>
    <col min="11304" max="11520" width="9.140625" style="366"/>
    <col min="11521" max="11521" width="16.85546875" style="366" bestFit="1" customWidth="1"/>
    <col min="11522" max="11522" width="33.5703125" style="366" bestFit="1" customWidth="1"/>
    <col min="11523" max="11526" width="16.85546875" style="366" bestFit="1" customWidth="1"/>
    <col min="11527" max="11527" width="33.5703125" style="366" bestFit="1" customWidth="1"/>
    <col min="11528" max="11556" width="16.85546875" style="366" bestFit="1" customWidth="1"/>
    <col min="11557" max="11558" width="33.5703125" style="366" bestFit="1" customWidth="1"/>
    <col min="11559" max="11559" width="16.85546875" style="366" bestFit="1" customWidth="1"/>
    <col min="11560" max="11776" width="9.140625" style="366"/>
    <col min="11777" max="11777" width="16.85546875" style="366" bestFit="1" customWidth="1"/>
    <col min="11778" max="11778" width="33.5703125" style="366" bestFit="1" customWidth="1"/>
    <col min="11779" max="11782" width="16.85546875" style="366" bestFit="1" customWidth="1"/>
    <col min="11783" max="11783" width="33.5703125" style="366" bestFit="1" customWidth="1"/>
    <col min="11784" max="11812" width="16.85546875" style="366" bestFit="1" customWidth="1"/>
    <col min="11813" max="11814" width="33.5703125" style="366" bestFit="1" customWidth="1"/>
    <col min="11815" max="11815" width="16.85546875" style="366" bestFit="1" customWidth="1"/>
    <col min="11816" max="12032" width="9.140625" style="366"/>
    <col min="12033" max="12033" width="16.85546875" style="366" bestFit="1" customWidth="1"/>
    <col min="12034" max="12034" width="33.5703125" style="366" bestFit="1" customWidth="1"/>
    <col min="12035" max="12038" width="16.85546875" style="366" bestFit="1" customWidth="1"/>
    <col min="12039" max="12039" width="33.5703125" style="366" bestFit="1" customWidth="1"/>
    <col min="12040" max="12068" width="16.85546875" style="366" bestFit="1" customWidth="1"/>
    <col min="12069" max="12070" width="33.5703125" style="366" bestFit="1" customWidth="1"/>
    <col min="12071" max="12071" width="16.85546875" style="366" bestFit="1" customWidth="1"/>
    <col min="12072" max="12288" width="9.140625" style="366"/>
    <col min="12289" max="12289" width="16.85546875" style="366" bestFit="1" customWidth="1"/>
    <col min="12290" max="12290" width="33.5703125" style="366" bestFit="1" customWidth="1"/>
    <col min="12291" max="12294" width="16.85546875" style="366" bestFit="1" customWidth="1"/>
    <col min="12295" max="12295" width="33.5703125" style="366" bestFit="1" customWidth="1"/>
    <col min="12296" max="12324" width="16.85546875" style="366" bestFit="1" customWidth="1"/>
    <col min="12325" max="12326" width="33.5703125" style="366" bestFit="1" customWidth="1"/>
    <col min="12327" max="12327" width="16.85546875" style="366" bestFit="1" customWidth="1"/>
    <col min="12328" max="12544" width="9.140625" style="366"/>
    <col min="12545" max="12545" width="16.85546875" style="366" bestFit="1" customWidth="1"/>
    <col min="12546" max="12546" width="33.5703125" style="366" bestFit="1" customWidth="1"/>
    <col min="12547" max="12550" width="16.85546875" style="366" bestFit="1" customWidth="1"/>
    <col min="12551" max="12551" width="33.5703125" style="366" bestFit="1" customWidth="1"/>
    <col min="12552" max="12580" width="16.85546875" style="366" bestFit="1" customWidth="1"/>
    <col min="12581" max="12582" width="33.5703125" style="366" bestFit="1" customWidth="1"/>
    <col min="12583" max="12583" width="16.85546875" style="366" bestFit="1" customWidth="1"/>
    <col min="12584" max="12800" width="9.140625" style="366"/>
    <col min="12801" max="12801" width="16.85546875" style="366" bestFit="1" customWidth="1"/>
    <col min="12802" max="12802" width="33.5703125" style="366" bestFit="1" customWidth="1"/>
    <col min="12803" max="12806" width="16.85546875" style="366" bestFit="1" customWidth="1"/>
    <col min="12807" max="12807" width="33.5703125" style="366" bestFit="1" customWidth="1"/>
    <col min="12808" max="12836" width="16.85546875" style="366" bestFit="1" customWidth="1"/>
    <col min="12837" max="12838" width="33.5703125" style="366" bestFit="1" customWidth="1"/>
    <col min="12839" max="12839" width="16.85546875" style="366" bestFit="1" customWidth="1"/>
    <col min="12840" max="13056" width="9.140625" style="366"/>
    <col min="13057" max="13057" width="16.85546875" style="366" bestFit="1" customWidth="1"/>
    <col min="13058" max="13058" width="33.5703125" style="366" bestFit="1" customWidth="1"/>
    <col min="13059" max="13062" width="16.85546875" style="366" bestFit="1" customWidth="1"/>
    <col min="13063" max="13063" width="33.5703125" style="366" bestFit="1" customWidth="1"/>
    <col min="13064" max="13092" width="16.85546875" style="366" bestFit="1" customWidth="1"/>
    <col min="13093" max="13094" width="33.5703125" style="366" bestFit="1" customWidth="1"/>
    <col min="13095" max="13095" width="16.85546875" style="366" bestFit="1" customWidth="1"/>
    <col min="13096" max="13312" width="9.140625" style="366"/>
    <col min="13313" max="13313" width="16.85546875" style="366" bestFit="1" customWidth="1"/>
    <col min="13314" max="13314" width="33.5703125" style="366" bestFit="1" customWidth="1"/>
    <col min="13315" max="13318" width="16.85546875" style="366" bestFit="1" customWidth="1"/>
    <col min="13319" max="13319" width="33.5703125" style="366" bestFit="1" customWidth="1"/>
    <col min="13320" max="13348" width="16.85546875" style="366" bestFit="1" customWidth="1"/>
    <col min="13349" max="13350" width="33.5703125" style="366" bestFit="1" customWidth="1"/>
    <col min="13351" max="13351" width="16.85546875" style="366" bestFit="1" customWidth="1"/>
    <col min="13352" max="13568" width="9.140625" style="366"/>
    <col min="13569" max="13569" width="16.85546875" style="366" bestFit="1" customWidth="1"/>
    <col min="13570" max="13570" width="33.5703125" style="366" bestFit="1" customWidth="1"/>
    <col min="13571" max="13574" width="16.85546875" style="366" bestFit="1" customWidth="1"/>
    <col min="13575" max="13575" width="33.5703125" style="366" bestFit="1" customWidth="1"/>
    <col min="13576" max="13604" width="16.85546875" style="366" bestFit="1" customWidth="1"/>
    <col min="13605" max="13606" width="33.5703125" style="366" bestFit="1" customWidth="1"/>
    <col min="13607" max="13607" width="16.85546875" style="366" bestFit="1" customWidth="1"/>
    <col min="13608" max="13824" width="9.140625" style="366"/>
    <col min="13825" max="13825" width="16.85546875" style="366" bestFit="1" customWidth="1"/>
    <col min="13826" max="13826" width="33.5703125" style="366" bestFit="1" customWidth="1"/>
    <col min="13827" max="13830" width="16.85546875" style="366" bestFit="1" customWidth="1"/>
    <col min="13831" max="13831" width="33.5703125" style="366" bestFit="1" customWidth="1"/>
    <col min="13832" max="13860" width="16.85546875" style="366" bestFit="1" customWidth="1"/>
    <col min="13861" max="13862" width="33.5703125" style="366" bestFit="1" customWidth="1"/>
    <col min="13863" max="13863" width="16.85546875" style="366" bestFit="1" customWidth="1"/>
    <col min="13864" max="14080" width="9.140625" style="366"/>
    <col min="14081" max="14081" width="16.85546875" style="366" bestFit="1" customWidth="1"/>
    <col min="14082" max="14082" width="33.5703125" style="366" bestFit="1" customWidth="1"/>
    <col min="14083" max="14086" width="16.85546875" style="366" bestFit="1" customWidth="1"/>
    <col min="14087" max="14087" width="33.5703125" style="366" bestFit="1" customWidth="1"/>
    <col min="14088" max="14116" width="16.85546875" style="366" bestFit="1" customWidth="1"/>
    <col min="14117" max="14118" width="33.5703125" style="366" bestFit="1" customWidth="1"/>
    <col min="14119" max="14119" width="16.85546875" style="366" bestFit="1" customWidth="1"/>
    <col min="14120" max="14336" width="9.140625" style="366"/>
    <col min="14337" max="14337" width="16.85546875" style="366" bestFit="1" customWidth="1"/>
    <col min="14338" max="14338" width="33.5703125" style="366" bestFit="1" customWidth="1"/>
    <col min="14339" max="14342" width="16.85546875" style="366" bestFit="1" customWidth="1"/>
    <col min="14343" max="14343" width="33.5703125" style="366" bestFit="1" customWidth="1"/>
    <col min="14344" max="14372" width="16.85546875" style="366" bestFit="1" customWidth="1"/>
    <col min="14373" max="14374" width="33.5703125" style="366" bestFit="1" customWidth="1"/>
    <col min="14375" max="14375" width="16.85546875" style="366" bestFit="1" customWidth="1"/>
    <col min="14376" max="14592" width="9.140625" style="366"/>
    <col min="14593" max="14593" width="16.85546875" style="366" bestFit="1" customWidth="1"/>
    <col min="14594" max="14594" width="33.5703125" style="366" bestFit="1" customWidth="1"/>
    <col min="14595" max="14598" width="16.85546875" style="366" bestFit="1" customWidth="1"/>
    <col min="14599" max="14599" width="33.5703125" style="366" bestFit="1" customWidth="1"/>
    <col min="14600" max="14628" width="16.85546875" style="366" bestFit="1" customWidth="1"/>
    <col min="14629" max="14630" width="33.5703125" style="366" bestFit="1" customWidth="1"/>
    <col min="14631" max="14631" width="16.85546875" style="366" bestFit="1" customWidth="1"/>
    <col min="14632" max="14848" width="9.140625" style="366"/>
    <col min="14849" max="14849" width="16.85546875" style="366" bestFit="1" customWidth="1"/>
    <col min="14850" max="14850" width="33.5703125" style="366" bestFit="1" customWidth="1"/>
    <col min="14851" max="14854" width="16.85546875" style="366" bestFit="1" customWidth="1"/>
    <col min="14855" max="14855" width="33.5703125" style="366" bestFit="1" customWidth="1"/>
    <col min="14856" max="14884" width="16.85546875" style="366" bestFit="1" customWidth="1"/>
    <col min="14885" max="14886" width="33.5703125" style="366" bestFit="1" customWidth="1"/>
    <col min="14887" max="14887" width="16.85546875" style="366" bestFit="1" customWidth="1"/>
    <col min="14888" max="15104" width="9.140625" style="366"/>
    <col min="15105" max="15105" width="16.85546875" style="366" bestFit="1" customWidth="1"/>
    <col min="15106" max="15106" width="33.5703125" style="366" bestFit="1" customWidth="1"/>
    <col min="15107" max="15110" width="16.85546875" style="366" bestFit="1" customWidth="1"/>
    <col min="15111" max="15111" width="33.5703125" style="366" bestFit="1" customWidth="1"/>
    <col min="15112" max="15140" width="16.85546875" style="366" bestFit="1" customWidth="1"/>
    <col min="15141" max="15142" width="33.5703125" style="366" bestFit="1" customWidth="1"/>
    <col min="15143" max="15143" width="16.85546875" style="366" bestFit="1" customWidth="1"/>
    <col min="15144" max="15360" width="9.140625" style="366"/>
    <col min="15361" max="15361" width="16.85546875" style="366" bestFit="1" customWidth="1"/>
    <col min="15362" max="15362" width="33.5703125" style="366" bestFit="1" customWidth="1"/>
    <col min="15363" max="15366" width="16.85546875" style="366" bestFit="1" customWidth="1"/>
    <col min="15367" max="15367" width="33.5703125" style="366" bestFit="1" customWidth="1"/>
    <col min="15368" max="15396" width="16.85546875" style="366" bestFit="1" customWidth="1"/>
    <col min="15397" max="15398" width="33.5703125" style="366" bestFit="1" customWidth="1"/>
    <col min="15399" max="15399" width="16.85546875" style="366" bestFit="1" customWidth="1"/>
    <col min="15400" max="15616" width="9.140625" style="366"/>
    <col min="15617" max="15617" width="16.85546875" style="366" bestFit="1" customWidth="1"/>
    <col min="15618" max="15618" width="33.5703125" style="366" bestFit="1" customWidth="1"/>
    <col min="15619" max="15622" width="16.85546875" style="366" bestFit="1" customWidth="1"/>
    <col min="15623" max="15623" width="33.5703125" style="366" bestFit="1" customWidth="1"/>
    <col min="15624" max="15652" width="16.85546875" style="366" bestFit="1" customWidth="1"/>
    <col min="15653" max="15654" width="33.5703125" style="366" bestFit="1" customWidth="1"/>
    <col min="15655" max="15655" width="16.85546875" style="366" bestFit="1" customWidth="1"/>
    <col min="15656" max="15872" width="9.140625" style="366"/>
    <col min="15873" max="15873" width="16.85546875" style="366" bestFit="1" customWidth="1"/>
    <col min="15874" max="15874" width="33.5703125" style="366" bestFit="1" customWidth="1"/>
    <col min="15875" max="15878" width="16.85546875" style="366" bestFit="1" customWidth="1"/>
    <col min="15879" max="15879" width="33.5703125" style="366" bestFit="1" customWidth="1"/>
    <col min="15880" max="15908" width="16.85546875" style="366" bestFit="1" customWidth="1"/>
    <col min="15909" max="15910" width="33.5703125" style="366" bestFit="1" customWidth="1"/>
    <col min="15911" max="15911" width="16.85546875" style="366" bestFit="1" customWidth="1"/>
    <col min="15912" max="16128" width="9.140625" style="366"/>
    <col min="16129" max="16129" width="16.85546875" style="366" bestFit="1" customWidth="1"/>
    <col min="16130" max="16130" width="33.5703125" style="366" bestFit="1" customWidth="1"/>
    <col min="16131" max="16134" width="16.85546875" style="366" bestFit="1" customWidth="1"/>
    <col min="16135" max="16135" width="33.5703125" style="366" bestFit="1" customWidth="1"/>
    <col min="16136" max="16164" width="16.85546875" style="366" bestFit="1" customWidth="1"/>
    <col min="16165" max="16166" width="33.5703125" style="366" bestFit="1" customWidth="1"/>
    <col min="16167" max="16167" width="16.85546875" style="366" bestFit="1" customWidth="1"/>
    <col min="16168" max="16384" width="9.140625" style="366"/>
  </cols>
  <sheetData>
    <row r="1" spans="1:43" ht="12.95" customHeight="1">
      <c r="B1" s="497" t="s">
        <v>238</v>
      </c>
      <c r="C1" s="498"/>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402"/>
      <c r="AP1" s="402"/>
      <c r="AQ1" s="402"/>
    </row>
    <row r="2" spans="1:43" ht="12.95" customHeight="1">
      <c r="B2" s="497" t="s">
        <v>606</v>
      </c>
      <c r="C2" s="498"/>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402"/>
      <c r="AP2" s="402"/>
      <c r="AQ2" s="402"/>
    </row>
    <row r="3" spans="1:43" ht="39" customHeight="1">
      <c r="B3" s="378" t="s">
        <v>151</v>
      </c>
      <c r="C3" s="378" t="s">
        <v>239</v>
      </c>
      <c r="D3" s="378" t="s">
        <v>240</v>
      </c>
      <c r="E3" s="378" t="s">
        <v>97</v>
      </c>
      <c r="F3" s="378" t="s">
        <v>241</v>
      </c>
      <c r="G3" s="378" t="s">
        <v>242</v>
      </c>
      <c r="H3" s="378" t="s">
        <v>243</v>
      </c>
      <c r="I3" s="378" t="s">
        <v>5</v>
      </c>
      <c r="J3" s="378" t="s">
        <v>244</v>
      </c>
      <c r="K3" s="378" t="s">
        <v>245</v>
      </c>
      <c r="L3" s="378" t="s">
        <v>246</v>
      </c>
      <c r="M3" s="378" t="s">
        <v>247</v>
      </c>
      <c r="N3" s="378" t="s">
        <v>248</v>
      </c>
      <c r="O3" s="378" t="s">
        <v>249</v>
      </c>
      <c r="P3" s="378" t="s">
        <v>250</v>
      </c>
      <c r="Q3" s="378" t="s">
        <v>251</v>
      </c>
      <c r="R3" s="378" t="s">
        <v>252</v>
      </c>
      <c r="S3" s="378" t="s">
        <v>431</v>
      </c>
      <c r="T3" s="378" t="s">
        <v>253</v>
      </c>
      <c r="U3" s="378" t="s">
        <v>254</v>
      </c>
      <c r="V3" s="378" t="s">
        <v>255</v>
      </c>
      <c r="W3" s="378" t="s">
        <v>256</v>
      </c>
      <c r="X3" s="378" t="s">
        <v>257</v>
      </c>
      <c r="Y3" s="378" t="s">
        <v>258</v>
      </c>
      <c r="Z3" s="378" t="s">
        <v>259</v>
      </c>
      <c r="AA3" s="378" t="s">
        <v>42</v>
      </c>
      <c r="AB3" s="378" t="s">
        <v>260</v>
      </c>
      <c r="AC3" s="378" t="s">
        <v>261</v>
      </c>
      <c r="AD3" s="378" t="s">
        <v>262</v>
      </c>
      <c r="AE3" s="378" t="s">
        <v>263</v>
      </c>
      <c r="AF3" s="378" t="s">
        <v>264</v>
      </c>
      <c r="AG3" s="378" t="s">
        <v>265</v>
      </c>
      <c r="AH3" s="378" t="s">
        <v>266</v>
      </c>
      <c r="AI3" s="378" t="s">
        <v>267</v>
      </c>
      <c r="AJ3" s="378" t="s">
        <v>268</v>
      </c>
      <c r="AK3" s="378" t="s">
        <v>269</v>
      </c>
      <c r="AL3" s="378" t="s">
        <v>270</v>
      </c>
      <c r="AM3" s="378" t="s">
        <v>271</v>
      </c>
      <c r="AN3" s="378" t="s">
        <v>272</v>
      </c>
      <c r="AO3" s="402"/>
      <c r="AP3" s="402"/>
      <c r="AQ3" s="402"/>
    </row>
    <row r="4" spans="1:43" ht="12.95" customHeight="1">
      <c r="A4" s="389" t="str">
        <f t="shared" ref="A4:A68" si="0">+B4&amp;E4</f>
        <v>QIFINE012A01025</v>
      </c>
      <c r="B4" s="368" t="s">
        <v>158</v>
      </c>
      <c r="C4" s="368" t="s">
        <v>273</v>
      </c>
      <c r="D4" s="368" t="s">
        <v>274</v>
      </c>
      <c r="E4" s="368" t="s">
        <v>128</v>
      </c>
      <c r="F4" s="368" t="s">
        <v>511</v>
      </c>
      <c r="G4" s="368" t="s">
        <v>275</v>
      </c>
      <c r="H4" s="368" t="s">
        <v>276</v>
      </c>
      <c r="I4" s="394">
        <v>123</v>
      </c>
      <c r="J4" s="394">
        <v>10</v>
      </c>
      <c r="K4" s="395">
        <v>1428.4</v>
      </c>
      <c r="L4" s="395">
        <v>1413.5</v>
      </c>
      <c r="M4" s="396">
        <v>-1.0541209762999645E-2</v>
      </c>
      <c r="N4" s="368" t="s">
        <v>277</v>
      </c>
      <c r="O4" s="395">
        <v>1229.2998373983739</v>
      </c>
      <c r="P4" s="394">
        <v>151203.88</v>
      </c>
      <c r="Q4" s="394">
        <v>151203.88</v>
      </c>
      <c r="R4" s="394">
        <v>173860.5</v>
      </c>
      <c r="S4" s="394">
        <v>1230</v>
      </c>
      <c r="T4" s="394">
        <v>22656.62</v>
      </c>
      <c r="U4" s="394">
        <v>-1832.7</v>
      </c>
      <c r="V4" s="396">
        <v>4.1999999999999997E-3</v>
      </c>
      <c r="W4" s="396">
        <v>4.1999999999999997E-3</v>
      </c>
      <c r="X4" s="394">
        <v>0</v>
      </c>
      <c r="Y4" s="394">
        <v>0</v>
      </c>
      <c r="Z4" s="405">
        <v>42766</v>
      </c>
      <c r="AA4" s="368" t="s">
        <v>278</v>
      </c>
      <c r="AB4" s="397"/>
      <c r="AC4" s="405"/>
      <c r="AD4" s="405"/>
      <c r="AE4" s="405"/>
      <c r="AF4" s="368"/>
      <c r="AG4" s="405"/>
      <c r="AH4" s="368" t="s">
        <v>79</v>
      </c>
      <c r="AI4" s="368" t="s">
        <v>279</v>
      </c>
      <c r="AJ4" s="368" t="s">
        <v>79</v>
      </c>
      <c r="AK4" s="368" t="s">
        <v>79</v>
      </c>
      <c r="AL4" s="368" t="s">
        <v>69</v>
      </c>
      <c r="AM4" s="368" t="s">
        <v>439</v>
      </c>
      <c r="AN4" s="368" t="s">
        <v>280</v>
      </c>
      <c r="AO4" s="402"/>
      <c r="AP4" s="402"/>
      <c r="AQ4" s="402"/>
    </row>
    <row r="5" spans="1:43" ht="12.95" customHeight="1">
      <c r="A5" s="402" t="str">
        <f t="shared" si="0"/>
        <v>QIFINE021A01026</v>
      </c>
      <c r="B5" s="368" t="s">
        <v>158</v>
      </c>
      <c r="C5" s="368" t="s">
        <v>273</v>
      </c>
      <c r="D5" s="368" t="s">
        <v>281</v>
      </c>
      <c r="E5" s="368" t="s">
        <v>170</v>
      </c>
      <c r="F5" s="368" t="s">
        <v>512</v>
      </c>
      <c r="G5" s="368" t="s">
        <v>275</v>
      </c>
      <c r="H5" s="368" t="s">
        <v>276</v>
      </c>
      <c r="I5" s="394">
        <v>592</v>
      </c>
      <c r="J5" s="394">
        <v>1</v>
      </c>
      <c r="K5" s="395">
        <v>973.2</v>
      </c>
      <c r="L5" s="395">
        <v>970.7</v>
      </c>
      <c r="M5" s="396">
        <v>-2.5754610075203461E-3</v>
      </c>
      <c r="N5" s="368" t="s">
        <v>277</v>
      </c>
      <c r="O5" s="395">
        <v>594.70847972972967</v>
      </c>
      <c r="P5" s="394">
        <v>352067.42</v>
      </c>
      <c r="Q5" s="394">
        <v>352067.42</v>
      </c>
      <c r="R5" s="394">
        <v>574654.4</v>
      </c>
      <c r="S5" s="394">
        <v>592</v>
      </c>
      <c r="T5" s="394">
        <v>222586.98</v>
      </c>
      <c r="U5" s="394">
        <v>-1480</v>
      </c>
      <c r="V5" s="396">
        <v>1.3899999999999999E-2</v>
      </c>
      <c r="W5" s="396">
        <v>1.3899999999999999E-2</v>
      </c>
      <c r="X5" s="394">
        <v>0</v>
      </c>
      <c r="Y5" s="394">
        <v>0</v>
      </c>
      <c r="Z5" s="405">
        <v>42766</v>
      </c>
      <c r="AA5" s="368" t="s">
        <v>278</v>
      </c>
      <c r="AB5" s="397"/>
      <c r="AC5" s="405"/>
      <c r="AD5" s="405"/>
      <c r="AE5" s="405"/>
      <c r="AF5" s="368"/>
      <c r="AG5" s="405"/>
      <c r="AH5" s="368" t="s">
        <v>79</v>
      </c>
      <c r="AI5" s="368" t="s">
        <v>279</v>
      </c>
      <c r="AJ5" s="368" t="s">
        <v>79</v>
      </c>
      <c r="AK5" s="368" t="s">
        <v>79</v>
      </c>
      <c r="AL5" s="368" t="s">
        <v>68</v>
      </c>
      <c r="AM5" s="368" t="s">
        <v>440</v>
      </c>
      <c r="AN5" s="368" t="s">
        <v>280</v>
      </c>
      <c r="AO5" s="402"/>
      <c r="AP5" s="402"/>
      <c r="AQ5" s="402"/>
    </row>
    <row r="6" spans="1:43" ht="12.95" customHeight="1">
      <c r="A6" s="402" t="str">
        <f t="shared" si="0"/>
        <v>QIFINE406A01037</v>
      </c>
      <c r="B6" s="368" t="s">
        <v>158</v>
      </c>
      <c r="C6" s="368" t="s">
        <v>273</v>
      </c>
      <c r="D6" s="368" t="s">
        <v>491</v>
      </c>
      <c r="E6" s="368" t="s">
        <v>492</v>
      </c>
      <c r="F6" s="368" t="s">
        <v>513</v>
      </c>
      <c r="G6" s="368" t="s">
        <v>275</v>
      </c>
      <c r="H6" s="368" t="s">
        <v>276</v>
      </c>
      <c r="I6" s="394">
        <v>352</v>
      </c>
      <c r="J6" s="394">
        <v>1</v>
      </c>
      <c r="K6" s="395">
        <v>695.2</v>
      </c>
      <c r="L6" s="395">
        <v>681.8</v>
      </c>
      <c r="M6" s="396">
        <v>-1.96538574361983E-2</v>
      </c>
      <c r="N6" s="368" t="s">
        <v>277</v>
      </c>
      <c r="O6" s="395">
        <v>734.90491477272724</v>
      </c>
      <c r="P6" s="394">
        <v>258686.53</v>
      </c>
      <c r="Q6" s="394">
        <v>258686.53</v>
      </c>
      <c r="R6" s="394">
        <v>239993.60000000001</v>
      </c>
      <c r="S6" s="394">
        <v>352</v>
      </c>
      <c r="T6" s="394">
        <v>-18692.93</v>
      </c>
      <c r="U6" s="394">
        <v>-4716.8</v>
      </c>
      <c r="V6" s="396">
        <v>5.7999999999999996E-3</v>
      </c>
      <c r="W6" s="396">
        <v>5.7999999999999996E-3</v>
      </c>
      <c r="X6" s="394">
        <v>0</v>
      </c>
      <c r="Y6" s="394">
        <v>0</v>
      </c>
      <c r="Z6" s="405">
        <v>42766</v>
      </c>
      <c r="AA6" s="368" t="s">
        <v>278</v>
      </c>
      <c r="AB6" s="397"/>
      <c r="AC6" s="405"/>
      <c r="AD6" s="405"/>
      <c r="AE6" s="405"/>
      <c r="AF6" s="368"/>
      <c r="AG6" s="405"/>
      <c r="AH6" s="368" t="s">
        <v>79</v>
      </c>
      <c r="AI6" s="368" t="s">
        <v>279</v>
      </c>
      <c r="AJ6" s="368" t="s">
        <v>79</v>
      </c>
      <c r="AK6" s="368" t="s">
        <v>79</v>
      </c>
      <c r="AL6" s="368" t="s">
        <v>75</v>
      </c>
      <c r="AM6" s="368" t="s">
        <v>493</v>
      </c>
      <c r="AN6" s="368" t="s">
        <v>280</v>
      </c>
      <c r="AO6" s="402"/>
      <c r="AP6" s="402"/>
      <c r="AQ6" s="402"/>
    </row>
    <row r="7" spans="1:43" ht="12.95" customHeight="1">
      <c r="A7" s="402" t="str">
        <f t="shared" si="0"/>
        <v>QIFINE917I01010</v>
      </c>
      <c r="B7" s="368" t="s">
        <v>158</v>
      </c>
      <c r="C7" s="368" t="s">
        <v>273</v>
      </c>
      <c r="D7" s="368" t="s">
        <v>282</v>
      </c>
      <c r="E7" s="368" t="s">
        <v>111</v>
      </c>
      <c r="F7" s="368" t="s">
        <v>514</v>
      </c>
      <c r="G7" s="368" t="s">
        <v>275</v>
      </c>
      <c r="H7" s="368" t="s">
        <v>276</v>
      </c>
      <c r="I7" s="394">
        <v>179</v>
      </c>
      <c r="J7" s="394">
        <v>10</v>
      </c>
      <c r="K7" s="395">
        <v>2825.05</v>
      </c>
      <c r="L7" s="395">
        <v>2833.45</v>
      </c>
      <c r="M7" s="396">
        <v>2.9645838112548305E-3</v>
      </c>
      <c r="N7" s="368" t="s">
        <v>277</v>
      </c>
      <c r="O7" s="395">
        <v>2025.6889944134077</v>
      </c>
      <c r="P7" s="394">
        <v>362598.33</v>
      </c>
      <c r="Q7" s="394">
        <v>362598.33</v>
      </c>
      <c r="R7" s="394">
        <v>507187.55</v>
      </c>
      <c r="S7" s="394">
        <v>1790</v>
      </c>
      <c r="T7" s="394">
        <v>144589.22</v>
      </c>
      <c r="U7" s="394">
        <v>1503.6</v>
      </c>
      <c r="V7" s="396">
        <v>1.23E-2</v>
      </c>
      <c r="W7" s="396">
        <v>1.23E-2</v>
      </c>
      <c r="X7" s="394">
        <v>0</v>
      </c>
      <c r="Y7" s="394">
        <v>0</v>
      </c>
      <c r="Z7" s="405">
        <v>42766</v>
      </c>
      <c r="AA7" s="368" t="s">
        <v>278</v>
      </c>
      <c r="AB7" s="397"/>
      <c r="AC7" s="405"/>
      <c r="AD7" s="405"/>
      <c r="AE7" s="405"/>
      <c r="AF7" s="368"/>
      <c r="AG7" s="405"/>
      <c r="AH7" s="368" t="s">
        <v>79</v>
      </c>
      <c r="AI7" s="368" t="s">
        <v>279</v>
      </c>
      <c r="AJ7" s="368" t="s">
        <v>79</v>
      </c>
      <c r="AK7" s="368" t="s">
        <v>79</v>
      </c>
      <c r="AL7" s="368" t="s">
        <v>62</v>
      </c>
      <c r="AM7" s="368" t="s">
        <v>441</v>
      </c>
      <c r="AN7" s="368" t="s">
        <v>280</v>
      </c>
      <c r="AO7" s="402"/>
      <c r="AP7" s="402"/>
      <c r="AQ7" s="402"/>
    </row>
    <row r="8" spans="1:43" ht="12.95" customHeight="1">
      <c r="A8" s="402" t="str">
        <f t="shared" si="0"/>
        <v>QIFINE257A01026</v>
      </c>
      <c r="B8" s="368" t="s">
        <v>158</v>
      </c>
      <c r="C8" s="368" t="s">
        <v>273</v>
      </c>
      <c r="D8" s="368" t="s">
        <v>283</v>
      </c>
      <c r="E8" s="368" t="s">
        <v>116</v>
      </c>
      <c r="F8" s="368" t="s">
        <v>515</v>
      </c>
      <c r="G8" s="368" t="s">
        <v>275</v>
      </c>
      <c r="H8" s="368" t="s">
        <v>276</v>
      </c>
      <c r="I8" s="394">
        <v>1189</v>
      </c>
      <c r="J8" s="394">
        <v>2</v>
      </c>
      <c r="K8" s="395">
        <v>138</v>
      </c>
      <c r="L8" s="395">
        <v>137.05000000000001</v>
      </c>
      <c r="M8" s="396">
        <v>-6.9317767238234219E-3</v>
      </c>
      <c r="N8" s="368" t="s">
        <v>277</v>
      </c>
      <c r="O8" s="395">
        <v>236.32782169890663</v>
      </c>
      <c r="P8" s="394">
        <v>280993.78000000003</v>
      </c>
      <c r="Q8" s="394">
        <v>280993.78000000003</v>
      </c>
      <c r="R8" s="394">
        <v>162952.45000000001</v>
      </c>
      <c r="S8" s="394">
        <v>2378</v>
      </c>
      <c r="T8" s="394">
        <v>-118041.33</v>
      </c>
      <c r="U8" s="394">
        <v>-1129.55</v>
      </c>
      <c r="V8" s="396">
        <v>3.8999999999999998E-3</v>
      </c>
      <c r="W8" s="396">
        <v>3.8999999999999998E-3</v>
      </c>
      <c r="X8" s="394">
        <v>0</v>
      </c>
      <c r="Y8" s="394">
        <v>0</v>
      </c>
      <c r="Z8" s="405">
        <v>42766</v>
      </c>
      <c r="AA8" s="368" t="s">
        <v>278</v>
      </c>
      <c r="AB8" s="397"/>
      <c r="AC8" s="405"/>
      <c r="AD8" s="405"/>
      <c r="AE8" s="405"/>
      <c r="AF8" s="368"/>
      <c r="AG8" s="405"/>
      <c r="AH8" s="368" t="s">
        <v>79</v>
      </c>
      <c r="AI8" s="368" t="s">
        <v>279</v>
      </c>
      <c r="AJ8" s="368" t="s">
        <v>79</v>
      </c>
      <c r="AK8" s="368" t="s">
        <v>79</v>
      </c>
      <c r="AL8" s="368" t="s">
        <v>67</v>
      </c>
      <c r="AM8" s="368" t="s">
        <v>442</v>
      </c>
      <c r="AN8" s="368" t="s">
        <v>280</v>
      </c>
      <c r="AO8" s="402"/>
      <c r="AP8" s="402"/>
      <c r="AQ8" s="402"/>
    </row>
    <row r="9" spans="1:43" ht="12.95" customHeight="1">
      <c r="A9" s="402" t="str">
        <f t="shared" si="0"/>
        <v>QIFINE121J01017</v>
      </c>
      <c r="B9" s="368" t="s">
        <v>158</v>
      </c>
      <c r="C9" s="368" t="s">
        <v>273</v>
      </c>
      <c r="D9" s="368" t="s">
        <v>494</v>
      </c>
      <c r="E9" s="368" t="s">
        <v>495</v>
      </c>
      <c r="F9" s="368" t="s">
        <v>496</v>
      </c>
      <c r="G9" s="368" t="s">
        <v>275</v>
      </c>
      <c r="H9" s="368" t="s">
        <v>276</v>
      </c>
      <c r="I9" s="394">
        <v>695</v>
      </c>
      <c r="J9" s="394">
        <v>10</v>
      </c>
      <c r="K9" s="395">
        <v>328.7</v>
      </c>
      <c r="L9" s="395">
        <v>293.8</v>
      </c>
      <c r="M9" s="396">
        <v>-0.11878829135466304</v>
      </c>
      <c r="N9" s="368" t="s">
        <v>277</v>
      </c>
      <c r="O9" s="395">
        <v>379.66014388489208</v>
      </c>
      <c r="P9" s="394">
        <v>263863.8</v>
      </c>
      <c r="Q9" s="394">
        <v>263863.8</v>
      </c>
      <c r="R9" s="394">
        <v>204191</v>
      </c>
      <c r="S9" s="394">
        <v>6950</v>
      </c>
      <c r="T9" s="394">
        <v>-59672.800000000003</v>
      </c>
      <c r="U9" s="394">
        <v>-24255.5</v>
      </c>
      <c r="V9" s="396">
        <v>4.8999999999999998E-3</v>
      </c>
      <c r="W9" s="396">
        <v>4.8999999999999998E-3</v>
      </c>
      <c r="X9" s="394">
        <v>0</v>
      </c>
      <c r="Y9" s="394">
        <v>0</v>
      </c>
      <c r="Z9" s="405">
        <v>42766</v>
      </c>
      <c r="AA9" s="368" t="s">
        <v>278</v>
      </c>
      <c r="AB9" s="397"/>
      <c r="AC9" s="405"/>
      <c r="AD9" s="405"/>
      <c r="AE9" s="405"/>
      <c r="AF9" s="368"/>
      <c r="AG9" s="405"/>
      <c r="AH9" s="368" t="s">
        <v>79</v>
      </c>
      <c r="AI9" s="368" t="s">
        <v>279</v>
      </c>
      <c r="AJ9" s="368" t="s">
        <v>79</v>
      </c>
      <c r="AK9" s="368" t="s">
        <v>79</v>
      </c>
      <c r="AL9" s="368" t="s">
        <v>497</v>
      </c>
      <c r="AM9" s="368" t="s">
        <v>496</v>
      </c>
      <c r="AN9" s="368" t="s">
        <v>280</v>
      </c>
      <c r="AO9" s="402"/>
      <c r="AP9" s="402"/>
      <c r="AQ9" s="402"/>
    </row>
    <row r="10" spans="1:43" ht="12.95" customHeight="1">
      <c r="A10" s="402" t="str">
        <f t="shared" si="0"/>
        <v>QIFINE028A01039</v>
      </c>
      <c r="B10" s="368" t="s">
        <v>158</v>
      </c>
      <c r="C10" s="368" t="s">
        <v>273</v>
      </c>
      <c r="D10" s="368" t="s">
        <v>284</v>
      </c>
      <c r="E10" s="368" t="s">
        <v>209</v>
      </c>
      <c r="F10" s="368" t="s">
        <v>516</v>
      </c>
      <c r="G10" s="368" t="s">
        <v>275</v>
      </c>
      <c r="H10" s="368" t="s">
        <v>276</v>
      </c>
      <c r="I10" s="394">
        <v>1240</v>
      </c>
      <c r="J10" s="394">
        <v>2</v>
      </c>
      <c r="K10" s="395">
        <v>167.75</v>
      </c>
      <c r="L10" s="395">
        <v>165.15</v>
      </c>
      <c r="M10" s="396">
        <v>-1.5743263699666971E-2</v>
      </c>
      <c r="N10" s="368" t="s">
        <v>277</v>
      </c>
      <c r="O10" s="395">
        <v>158.93847580645161</v>
      </c>
      <c r="P10" s="394">
        <v>197083.71</v>
      </c>
      <c r="Q10" s="394">
        <v>197083.71</v>
      </c>
      <c r="R10" s="394">
        <v>204786</v>
      </c>
      <c r="S10" s="394">
        <v>2480</v>
      </c>
      <c r="T10" s="394">
        <v>7702.29</v>
      </c>
      <c r="U10" s="394">
        <v>-3224</v>
      </c>
      <c r="V10" s="396">
        <v>4.8999999999999998E-3</v>
      </c>
      <c r="W10" s="396">
        <v>4.8999999999999998E-3</v>
      </c>
      <c r="X10" s="394">
        <v>0</v>
      </c>
      <c r="Y10" s="394">
        <v>0</v>
      </c>
      <c r="Z10" s="405">
        <v>42766</v>
      </c>
      <c r="AA10" s="368" t="s">
        <v>278</v>
      </c>
      <c r="AB10" s="397"/>
      <c r="AC10" s="405"/>
      <c r="AD10" s="405"/>
      <c r="AE10" s="405"/>
      <c r="AF10" s="368"/>
      <c r="AG10" s="405"/>
      <c r="AH10" s="368" t="s">
        <v>79</v>
      </c>
      <c r="AI10" s="368" t="s">
        <v>279</v>
      </c>
      <c r="AJ10" s="368" t="s">
        <v>79</v>
      </c>
      <c r="AK10" s="368" t="s">
        <v>79</v>
      </c>
      <c r="AL10" s="368" t="s">
        <v>64</v>
      </c>
      <c r="AM10" s="368" t="s">
        <v>195</v>
      </c>
      <c r="AN10" s="368" t="s">
        <v>280</v>
      </c>
      <c r="AO10" s="402"/>
      <c r="AP10" s="402"/>
      <c r="AQ10" s="402"/>
    </row>
    <row r="11" spans="1:43" ht="12.95" customHeight="1">
      <c r="A11" s="402" t="str">
        <f t="shared" si="0"/>
        <v>QIFINE029A01011</v>
      </c>
      <c r="B11" s="368" t="s">
        <v>158</v>
      </c>
      <c r="C11" s="368" t="s">
        <v>273</v>
      </c>
      <c r="D11" s="368" t="s">
        <v>285</v>
      </c>
      <c r="E11" s="368" t="s">
        <v>129</v>
      </c>
      <c r="F11" s="368" t="s">
        <v>517</v>
      </c>
      <c r="G11" s="368" t="s">
        <v>275</v>
      </c>
      <c r="H11" s="368" t="s">
        <v>276</v>
      </c>
      <c r="I11" s="394">
        <v>684</v>
      </c>
      <c r="J11" s="394">
        <v>10</v>
      </c>
      <c r="K11" s="395">
        <v>704.65</v>
      </c>
      <c r="L11" s="395">
        <v>681.65</v>
      </c>
      <c r="M11" s="396">
        <v>-3.3741656275214554E-2</v>
      </c>
      <c r="N11" s="368" t="s">
        <v>277</v>
      </c>
      <c r="O11" s="395">
        <v>297.14235380116958</v>
      </c>
      <c r="P11" s="394">
        <v>203245.37</v>
      </c>
      <c r="Q11" s="394">
        <v>203245.37</v>
      </c>
      <c r="R11" s="394">
        <v>466248.6</v>
      </c>
      <c r="S11" s="394">
        <v>6840</v>
      </c>
      <c r="T11" s="394">
        <v>263003.23</v>
      </c>
      <c r="U11" s="394">
        <v>-15732</v>
      </c>
      <c r="V11" s="396">
        <v>1.1299999999999999E-2</v>
      </c>
      <c r="W11" s="396">
        <v>1.1299999999999999E-2</v>
      </c>
      <c r="X11" s="394">
        <v>0</v>
      </c>
      <c r="Y11" s="394">
        <v>0</v>
      </c>
      <c r="Z11" s="405">
        <v>42766</v>
      </c>
      <c r="AA11" s="368" t="s">
        <v>278</v>
      </c>
      <c r="AB11" s="397"/>
      <c r="AC11" s="405"/>
      <c r="AD11" s="405"/>
      <c r="AE11" s="405"/>
      <c r="AF11" s="368"/>
      <c r="AG11" s="405"/>
      <c r="AH11" s="368" t="s">
        <v>79</v>
      </c>
      <c r="AI11" s="368" t="s">
        <v>279</v>
      </c>
      <c r="AJ11" s="368" t="s">
        <v>79</v>
      </c>
      <c r="AK11" s="368" t="s">
        <v>79</v>
      </c>
      <c r="AL11" s="368" t="s">
        <v>74</v>
      </c>
      <c r="AM11" s="368" t="s">
        <v>443</v>
      </c>
      <c r="AN11" s="368" t="s">
        <v>280</v>
      </c>
      <c r="AO11" s="402"/>
      <c r="AP11" s="402"/>
      <c r="AQ11" s="402"/>
    </row>
    <row r="12" spans="1:43" ht="12.95" customHeight="1">
      <c r="A12" s="402" t="str">
        <f t="shared" si="0"/>
        <v>QIFINE669E01016</v>
      </c>
      <c r="B12" s="368" t="s">
        <v>158</v>
      </c>
      <c r="C12" s="368" t="s">
        <v>273</v>
      </c>
      <c r="D12" s="368" t="s">
        <v>286</v>
      </c>
      <c r="E12" s="368" t="s">
        <v>214</v>
      </c>
      <c r="F12" s="368" t="s">
        <v>518</v>
      </c>
      <c r="G12" s="368" t="s">
        <v>275</v>
      </c>
      <c r="H12" s="368" t="s">
        <v>276</v>
      </c>
      <c r="I12" s="394">
        <v>1628</v>
      </c>
      <c r="J12" s="394">
        <v>10</v>
      </c>
      <c r="K12" s="395">
        <v>97.7</v>
      </c>
      <c r="L12" s="395">
        <v>110.1</v>
      </c>
      <c r="M12" s="396">
        <v>0.11262488646684832</v>
      </c>
      <c r="N12" s="368" t="s">
        <v>277</v>
      </c>
      <c r="O12" s="395">
        <v>146.16202088452087</v>
      </c>
      <c r="P12" s="394">
        <v>237951.77</v>
      </c>
      <c r="Q12" s="394">
        <v>237951.77</v>
      </c>
      <c r="R12" s="394">
        <v>179242.8</v>
      </c>
      <c r="S12" s="394">
        <v>16280</v>
      </c>
      <c r="T12" s="394">
        <v>-58708.97</v>
      </c>
      <c r="U12" s="394">
        <v>20187.2</v>
      </c>
      <c r="V12" s="396">
        <v>4.3E-3</v>
      </c>
      <c r="W12" s="396">
        <v>4.3E-3</v>
      </c>
      <c r="X12" s="394">
        <v>0</v>
      </c>
      <c r="Y12" s="394">
        <v>0</v>
      </c>
      <c r="Z12" s="405">
        <v>42766</v>
      </c>
      <c r="AA12" s="368" t="s">
        <v>278</v>
      </c>
      <c r="AB12" s="397"/>
      <c r="AC12" s="405"/>
      <c r="AD12" s="405"/>
      <c r="AE12" s="405"/>
      <c r="AF12" s="368"/>
      <c r="AG12" s="405"/>
      <c r="AH12" s="368" t="s">
        <v>79</v>
      </c>
      <c r="AI12" s="368" t="s">
        <v>279</v>
      </c>
      <c r="AJ12" s="368" t="s">
        <v>79</v>
      </c>
      <c r="AK12" s="368" t="s">
        <v>79</v>
      </c>
      <c r="AL12" s="368" t="s">
        <v>73</v>
      </c>
      <c r="AM12" s="368" t="s">
        <v>444</v>
      </c>
      <c r="AN12" s="368" t="s">
        <v>280</v>
      </c>
      <c r="AO12" s="402"/>
      <c r="AP12" s="402"/>
      <c r="AQ12" s="402"/>
    </row>
    <row r="13" spans="1:43" ht="12.95" customHeight="1">
      <c r="A13" s="402" t="str">
        <f t="shared" si="0"/>
        <v>QIFINE397D01024</v>
      </c>
      <c r="B13" s="368" t="s">
        <v>158</v>
      </c>
      <c r="C13" s="368" t="s">
        <v>273</v>
      </c>
      <c r="D13" s="368" t="s">
        <v>287</v>
      </c>
      <c r="E13" s="368" t="s">
        <v>108</v>
      </c>
      <c r="F13" s="368" t="s">
        <v>519</v>
      </c>
      <c r="G13" s="368" t="s">
        <v>275</v>
      </c>
      <c r="H13" s="368" t="s">
        <v>276</v>
      </c>
      <c r="I13" s="394">
        <v>1732</v>
      </c>
      <c r="J13" s="394">
        <v>5</v>
      </c>
      <c r="K13" s="395">
        <v>345.65</v>
      </c>
      <c r="L13" s="395">
        <v>348.2</v>
      </c>
      <c r="M13" s="396">
        <v>7.3233773693279726E-3</v>
      </c>
      <c r="N13" s="368" t="s">
        <v>277</v>
      </c>
      <c r="O13" s="395">
        <v>345.76130484988454</v>
      </c>
      <c r="P13" s="394">
        <v>598858.57999999996</v>
      </c>
      <c r="Q13" s="394">
        <v>598858.57999999996</v>
      </c>
      <c r="R13" s="394">
        <v>603082.4</v>
      </c>
      <c r="S13" s="394">
        <v>8660</v>
      </c>
      <c r="T13" s="394">
        <v>4223.82</v>
      </c>
      <c r="U13" s="394">
        <v>4416.6000000000004</v>
      </c>
      <c r="V13" s="396">
        <v>1.46E-2</v>
      </c>
      <c r="W13" s="396">
        <v>1.46E-2</v>
      </c>
      <c r="X13" s="394">
        <v>0</v>
      </c>
      <c r="Y13" s="394">
        <v>0</v>
      </c>
      <c r="Z13" s="405">
        <v>42766</v>
      </c>
      <c r="AA13" s="368" t="s">
        <v>278</v>
      </c>
      <c r="AB13" s="397"/>
      <c r="AC13" s="405"/>
      <c r="AD13" s="405"/>
      <c r="AE13" s="405"/>
      <c r="AF13" s="368"/>
      <c r="AG13" s="405"/>
      <c r="AH13" s="368" t="s">
        <v>79</v>
      </c>
      <c r="AI13" s="368" t="s">
        <v>279</v>
      </c>
      <c r="AJ13" s="368" t="s">
        <v>79</v>
      </c>
      <c r="AK13" s="368" t="s">
        <v>79</v>
      </c>
      <c r="AL13" s="368" t="s">
        <v>73</v>
      </c>
      <c r="AM13" s="368" t="s">
        <v>445</v>
      </c>
      <c r="AN13" s="368" t="s">
        <v>280</v>
      </c>
      <c r="AO13" s="402"/>
      <c r="AP13" s="402"/>
      <c r="AQ13" s="402"/>
    </row>
    <row r="14" spans="1:43" ht="12.95" customHeight="1">
      <c r="A14" s="402" t="str">
        <f t="shared" si="0"/>
        <v>QIFINE059A01026</v>
      </c>
      <c r="B14" s="368" t="s">
        <v>158</v>
      </c>
      <c r="C14" s="368" t="s">
        <v>273</v>
      </c>
      <c r="D14" s="368" t="s">
        <v>288</v>
      </c>
      <c r="E14" s="368" t="s">
        <v>117</v>
      </c>
      <c r="F14" s="368" t="s">
        <v>520</v>
      </c>
      <c r="G14" s="368" t="s">
        <v>275</v>
      </c>
      <c r="H14" s="368" t="s">
        <v>276</v>
      </c>
      <c r="I14" s="394">
        <v>666</v>
      </c>
      <c r="J14" s="394">
        <v>2</v>
      </c>
      <c r="K14" s="395">
        <v>582.25</v>
      </c>
      <c r="L14" s="395">
        <v>575.35</v>
      </c>
      <c r="M14" s="396">
        <v>-1.1992700095593986E-2</v>
      </c>
      <c r="N14" s="368" t="s">
        <v>277</v>
      </c>
      <c r="O14" s="395">
        <v>423.44384384384387</v>
      </c>
      <c r="P14" s="394">
        <v>282013.59999999998</v>
      </c>
      <c r="Q14" s="394">
        <v>282013.59999999998</v>
      </c>
      <c r="R14" s="394">
        <v>383183.1</v>
      </c>
      <c r="S14" s="394">
        <v>1332</v>
      </c>
      <c r="T14" s="394">
        <v>101169.5</v>
      </c>
      <c r="U14" s="394">
        <v>-4595.3999999999996</v>
      </c>
      <c r="V14" s="396">
        <v>9.2999999999999992E-3</v>
      </c>
      <c r="W14" s="396">
        <v>9.2999999999999992E-3</v>
      </c>
      <c r="X14" s="394">
        <v>0</v>
      </c>
      <c r="Y14" s="394">
        <v>0</v>
      </c>
      <c r="Z14" s="405">
        <v>42766</v>
      </c>
      <c r="AA14" s="368" t="s">
        <v>278</v>
      </c>
      <c r="AB14" s="397"/>
      <c r="AC14" s="405"/>
      <c r="AD14" s="405"/>
      <c r="AE14" s="405"/>
      <c r="AF14" s="368"/>
      <c r="AG14" s="405"/>
      <c r="AH14" s="368" t="s">
        <v>79</v>
      </c>
      <c r="AI14" s="368" t="s">
        <v>279</v>
      </c>
      <c r="AJ14" s="368" t="s">
        <v>79</v>
      </c>
      <c r="AK14" s="368" t="s">
        <v>79</v>
      </c>
      <c r="AL14" s="368" t="s">
        <v>75</v>
      </c>
      <c r="AM14" s="368" t="s">
        <v>446</v>
      </c>
      <c r="AN14" s="368" t="s">
        <v>280</v>
      </c>
      <c r="AO14" s="402"/>
      <c r="AP14" s="402"/>
      <c r="AQ14" s="402"/>
    </row>
    <row r="15" spans="1:43" ht="12.95" customHeight="1">
      <c r="A15" s="402" t="str">
        <f t="shared" si="0"/>
        <v>QIFINE522F01014</v>
      </c>
      <c r="B15" s="368" t="s">
        <v>158</v>
      </c>
      <c r="C15" s="368" t="s">
        <v>273</v>
      </c>
      <c r="D15" s="368" t="s">
        <v>289</v>
      </c>
      <c r="E15" s="368" t="s">
        <v>113</v>
      </c>
      <c r="F15" s="368" t="s">
        <v>521</v>
      </c>
      <c r="G15" s="368" t="s">
        <v>275</v>
      </c>
      <c r="H15" s="368" t="s">
        <v>276</v>
      </c>
      <c r="I15" s="394">
        <v>1659</v>
      </c>
      <c r="J15" s="394">
        <v>10</v>
      </c>
      <c r="K15" s="395">
        <v>314.7</v>
      </c>
      <c r="L15" s="395">
        <v>309.2</v>
      </c>
      <c r="M15" s="396">
        <v>-1.7787839586028462E-2</v>
      </c>
      <c r="N15" s="368" t="s">
        <v>277</v>
      </c>
      <c r="O15" s="395">
        <v>356.57660036166368</v>
      </c>
      <c r="P15" s="394">
        <v>591560.57999999996</v>
      </c>
      <c r="Q15" s="394">
        <v>591560.57999999996</v>
      </c>
      <c r="R15" s="394">
        <v>512962.8</v>
      </c>
      <c r="S15" s="394">
        <v>16590</v>
      </c>
      <c r="T15" s="394">
        <v>-78597.78</v>
      </c>
      <c r="U15" s="394">
        <v>-9124.5</v>
      </c>
      <c r="V15" s="396">
        <v>1.24E-2</v>
      </c>
      <c r="W15" s="396">
        <v>1.24E-2</v>
      </c>
      <c r="X15" s="394">
        <v>0</v>
      </c>
      <c r="Y15" s="394">
        <v>0</v>
      </c>
      <c r="Z15" s="405">
        <v>42766</v>
      </c>
      <c r="AA15" s="368" t="s">
        <v>278</v>
      </c>
      <c r="AB15" s="397"/>
      <c r="AC15" s="405"/>
      <c r="AD15" s="405"/>
      <c r="AE15" s="405"/>
      <c r="AF15" s="368"/>
      <c r="AG15" s="405"/>
      <c r="AH15" s="368" t="s">
        <v>79</v>
      </c>
      <c r="AI15" s="368" t="s">
        <v>279</v>
      </c>
      <c r="AJ15" s="368" t="s">
        <v>79</v>
      </c>
      <c r="AK15" s="368" t="s">
        <v>79</v>
      </c>
      <c r="AL15" s="368" t="s">
        <v>78</v>
      </c>
      <c r="AM15" s="368" t="s">
        <v>447</v>
      </c>
      <c r="AN15" s="368" t="s">
        <v>280</v>
      </c>
      <c r="AO15" s="402"/>
      <c r="AP15" s="402"/>
      <c r="AQ15" s="402"/>
    </row>
    <row r="16" spans="1:43" ht="12.95" customHeight="1">
      <c r="A16" s="402" t="str">
        <f t="shared" si="0"/>
        <v>QIFINE089A01023</v>
      </c>
      <c r="B16" s="368" t="s">
        <v>158</v>
      </c>
      <c r="C16" s="368" t="s">
        <v>273</v>
      </c>
      <c r="D16" s="368" t="s">
        <v>290</v>
      </c>
      <c r="E16" s="368" t="s">
        <v>115</v>
      </c>
      <c r="F16" s="368" t="s">
        <v>522</v>
      </c>
      <c r="G16" s="368" t="s">
        <v>275</v>
      </c>
      <c r="H16" s="368" t="s">
        <v>276</v>
      </c>
      <c r="I16" s="394">
        <v>165</v>
      </c>
      <c r="J16" s="394">
        <v>5</v>
      </c>
      <c r="K16" s="395">
        <v>3017.05</v>
      </c>
      <c r="L16" s="395">
        <v>3018.8</v>
      </c>
      <c r="M16" s="396">
        <v>5.7970054326222345E-4</v>
      </c>
      <c r="N16" s="368" t="s">
        <v>277</v>
      </c>
      <c r="O16" s="395">
        <v>2401.0182424242425</v>
      </c>
      <c r="P16" s="394">
        <v>396168.01</v>
      </c>
      <c r="Q16" s="394">
        <v>396168.01</v>
      </c>
      <c r="R16" s="394">
        <v>498102</v>
      </c>
      <c r="S16" s="394">
        <v>825</v>
      </c>
      <c r="T16" s="394">
        <v>101933.99</v>
      </c>
      <c r="U16" s="394">
        <v>288.75</v>
      </c>
      <c r="V16" s="396">
        <v>1.2E-2</v>
      </c>
      <c r="W16" s="396">
        <v>1.2E-2</v>
      </c>
      <c r="X16" s="394">
        <v>0</v>
      </c>
      <c r="Y16" s="394">
        <v>0</v>
      </c>
      <c r="Z16" s="405">
        <v>42766</v>
      </c>
      <c r="AA16" s="368" t="s">
        <v>278</v>
      </c>
      <c r="AB16" s="397"/>
      <c r="AC16" s="405"/>
      <c r="AD16" s="405"/>
      <c r="AE16" s="405"/>
      <c r="AF16" s="368"/>
      <c r="AG16" s="405"/>
      <c r="AH16" s="368" t="s">
        <v>79</v>
      </c>
      <c r="AI16" s="368" t="s">
        <v>279</v>
      </c>
      <c r="AJ16" s="368" t="s">
        <v>79</v>
      </c>
      <c r="AK16" s="368" t="s">
        <v>79</v>
      </c>
      <c r="AL16" s="368" t="s">
        <v>75</v>
      </c>
      <c r="AM16" s="368" t="s">
        <v>448</v>
      </c>
      <c r="AN16" s="368" t="s">
        <v>280</v>
      </c>
      <c r="AO16" s="402"/>
      <c r="AP16" s="402"/>
      <c r="AQ16" s="402"/>
    </row>
    <row r="17" spans="1:43" ht="12.95" customHeight="1">
      <c r="A17" s="402" t="str">
        <f t="shared" si="0"/>
        <v>QIFINE066A01013</v>
      </c>
      <c r="B17" s="368" t="s">
        <v>158</v>
      </c>
      <c r="C17" s="368" t="s">
        <v>273</v>
      </c>
      <c r="D17" s="368" t="s">
        <v>498</v>
      </c>
      <c r="E17" s="368" t="s">
        <v>499</v>
      </c>
      <c r="F17" s="368" t="s">
        <v>523</v>
      </c>
      <c r="G17" s="368" t="s">
        <v>275</v>
      </c>
      <c r="H17" s="368" t="s">
        <v>276</v>
      </c>
      <c r="I17" s="394">
        <v>18</v>
      </c>
      <c r="J17" s="394">
        <v>10</v>
      </c>
      <c r="K17" s="395">
        <v>23234.400000000001</v>
      </c>
      <c r="L17" s="395">
        <v>23028.45</v>
      </c>
      <c r="M17" s="396">
        <v>-8.9432853709216203E-3</v>
      </c>
      <c r="N17" s="368" t="s">
        <v>277</v>
      </c>
      <c r="O17" s="395">
        <v>19921.851111111111</v>
      </c>
      <c r="P17" s="394">
        <v>358593.32</v>
      </c>
      <c r="Q17" s="394">
        <v>358593.32</v>
      </c>
      <c r="R17" s="394">
        <v>414512.1</v>
      </c>
      <c r="S17" s="394">
        <v>180</v>
      </c>
      <c r="T17" s="394">
        <v>55918.78</v>
      </c>
      <c r="U17" s="394">
        <v>-3707.1</v>
      </c>
      <c r="V17" s="396">
        <v>0.01</v>
      </c>
      <c r="W17" s="396">
        <v>0.01</v>
      </c>
      <c r="X17" s="394">
        <v>0</v>
      </c>
      <c r="Y17" s="394">
        <v>0</v>
      </c>
      <c r="Z17" s="405">
        <v>42766</v>
      </c>
      <c r="AA17" s="368" t="s">
        <v>278</v>
      </c>
      <c r="AB17" s="397"/>
      <c r="AC17" s="405"/>
      <c r="AD17" s="405"/>
      <c r="AE17" s="405"/>
      <c r="AF17" s="368"/>
      <c r="AG17" s="405"/>
      <c r="AH17" s="368" t="s">
        <v>79</v>
      </c>
      <c r="AI17" s="368" t="s">
        <v>279</v>
      </c>
      <c r="AJ17" s="368" t="s">
        <v>79</v>
      </c>
      <c r="AK17" s="368" t="s">
        <v>79</v>
      </c>
      <c r="AL17" s="368" t="s">
        <v>62</v>
      </c>
      <c r="AM17" s="368" t="s">
        <v>500</v>
      </c>
      <c r="AN17" s="368" t="s">
        <v>280</v>
      </c>
      <c r="AO17" s="402"/>
      <c r="AP17" s="402"/>
      <c r="AQ17" s="402"/>
    </row>
    <row r="18" spans="1:43" ht="12.95" customHeight="1">
      <c r="A18" s="402" t="str">
        <f t="shared" si="0"/>
        <v>QIFINE129A01019</v>
      </c>
      <c r="B18" s="368" t="s">
        <v>158</v>
      </c>
      <c r="C18" s="368" t="s">
        <v>273</v>
      </c>
      <c r="D18" s="368" t="s">
        <v>291</v>
      </c>
      <c r="E18" s="368" t="s">
        <v>122</v>
      </c>
      <c r="F18" s="368" t="s">
        <v>524</v>
      </c>
      <c r="G18" s="368" t="s">
        <v>275</v>
      </c>
      <c r="H18" s="368" t="s">
        <v>276</v>
      </c>
      <c r="I18" s="394">
        <v>616</v>
      </c>
      <c r="J18" s="394">
        <v>10</v>
      </c>
      <c r="K18" s="395">
        <v>483.85</v>
      </c>
      <c r="L18" s="395">
        <v>468.15</v>
      </c>
      <c r="M18" s="396">
        <v>-3.353625974580797E-2</v>
      </c>
      <c r="N18" s="368" t="s">
        <v>277</v>
      </c>
      <c r="O18" s="395">
        <v>376.22965909090908</v>
      </c>
      <c r="P18" s="394">
        <v>231757.47</v>
      </c>
      <c r="Q18" s="394">
        <v>231757.47</v>
      </c>
      <c r="R18" s="394">
        <v>288380.40000000002</v>
      </c>
      <c r="S18" s="394">
        <v>6160</v>
      </c>
      <c r="T18" s="394">
        <v>56622.93</v>
      </c>
      <c r="U18" s="394">
        <v>-9671.2000000000007</v>
      </c>
      <c r="V18" s="396">
        <v>7.0000000000000001E-3</v>
      </c>
      <c r="W18" s="396">
        <v>7.0000000000000001E-3</v>
      </c>
      <c r="X18" s="394">
        <v>0</v>
      </c>
      <c r="Y18" s="394">
        <v>0</v>
      </c>
      <c r="Z18" s="405">
        <v>42766</v>
      </c>
      <c r="AA18" s="368" t="s">
        <v>278</v>
      </c>
      <c r="AB18" s="397"/>
      <c r="AC18" s="405"/>
      <c r="AD18" s="405"/>
      <c r="AE18" s="405"/>
      <c r="AF18" s="368"/>
      <c r="AG18" s="405"/>
      <c r="AH18" s="368" t="s">
        <v>79</v>
      </c>
      <c r="AI18" s="368" t="s">
        <v>279</v>
      </c>
      <c r="AJ18" s="368" t="s">
        <v>79</v>
      </c>
      <c r="AK18" s="368" t="s">
        <v>79</v>
      </c>
      <c r="AL18" s="368" t="s">
        <v>76</v>
      </c>
      <c r="AM18" s="368" t="s">
        <v>449</v>
      </c>
      <c r="AN18" s="368" t="s">
        <v>280</v>
      </c>
      <c r="AO18" s="402"/>
      <c r="AP18" s="402"/>
      <c r="AQ18" s="402"/>
    </row>
    <row r="19" spans="1:43" ht="12.95" customHeight="1">
      <c r="A19" s="402" t="str">
        <f t="shared" si="0"/>
        <v>QIFINE047A01021</v>
      </c>
      <c r="B19" s="368" t="s">
        <v>158</v>
      </c>
      <c r="C19" s="368" t="s">
        <v>273</v>
      </c>
      <c r="D19" s="368" t="s">
        <v>575</v>
      </c>
      <c r="E19" s="368" t="s">
        <v>576</v>
      </c>
      <c r="F19" s="368" t="s">
        <v>525</v>
      </c>
      <c r="G19" s="368" t="s">
        <v>275</v>
      </c>
      <c r="H19" s="368" t="s">
        <v>276</v>
      </c>
      <c r="I19" s="394">
        <v>423</v>
      </c>
      <c r="J19" s="394">
        <v>2</v>
      </c>
      <c r="K19" s="395">
        <v>969.55</v>
      </c>
      <c r="L19" s="395">
        <v>910.55</v>
      </c>
      <c r="M19" s="396">
        <v>-6.4796002416122128E-2</v>
      </c>
      <c r="N19" s="368" t="s">
        <v>277</v>
      </c>
      <c r="O19" s="395">
        <v>657.87872340425531</v>
      </c>
      <c r="P19" s="394">
        <v>278282.7</v>
      </c>
      <c r="Q19" s="394">
        <v>278282.7</v>
      </c>
      <c r="R19" s="394">
        <v>385162.65</v>
      </c>
      <c r="S19" s="394">
        <v>846</v>
      </c>
      <c r="T19" s="394">
        <v>106879.95</v>
      </c>
      <c r="U19" s="394">
        <v>-24957</v>
      </c>
      <c r="V19" s="396">
        <v>9.2999999999999992E-3</v>
      </c>
      <c r="W19" s="396">
        <v>9.2999999999999992E-3</v>
      </c>
      <c r="X19" s="394">
        <v>0</v>
      </c>
      <c r="Y19" s="394">
        <v>0</v>
      </c>
      <c r="Z19" s="405">
        <v>42766</v>
      </c>
      <c r="AA19" s="368" t="s">
        <v>278</v>
      </c>
      <c r="AB19" s="397"/>
      <c r="AC19" s="405"/>
      <c r="AD19" s="405"/>
      <c r="AE19" s="405"/>
      <c r="AF19" s="368"/>
      <c r="AG19" s="405"/>
      <c r="AH19" s="368" t="s">
        <v>79</v>
      </c>
      <c r="AI19" s="368" t="s">
        <v>279</v>
      </c>
      <c r="AJ19" s="368" t="s">
        <v>79</v>
      </c>
      <c r="AK19" s="368" t="s">
        <v>79</v>
      </c>
      <c r="AL19" s="368" t="s">
        <v>69</v>
      </c>
      <c r="AM19" s="368" t="s">
        <v>450</v>
      </c>
      <c r="AN19" s="368" t="s">
        <v>280</v>
      </c>
      <c r="AO19" s="402"/>
      <c r="AP19" s="402"/>
      <c r="AQ19" s="402"/>
    </row>
    <row r="20" spans="1:43" ht="12.95" customHeight="1">
      <c r="A20" s="402" t="str">
        <f t="shared" si="0"/>
        <v>QIFINE079A01024</v>
      </c>
      <c r="B20" s="368" t="s">
        <v>158</v>
      </c>
      <c r="C20" s="368" t="s">
        <v>273</v>
      </c>
      <c r="D20" s="368" t="s">
        <v>292</v>
      </c>
      <c r="E20" s="368" t="s">
        <v>125</v>
      </c>
      <c r="F20" s="368" t="s">
        <v>526</v>
      </c>
      <c r="G20" s="368" t="s">
        <v>275</v>
      </c>
      <c r="H20" s="368" t="s">
        <v>276</v>
      </c>
      <c r="I20" s="394">
        <v>1019</v>
      </c>
      <c r="J20" s="394">
        <v>2</v>
      </c>
      <c r="K20" s="395">
        <v>229.45</v>
      </c>
      <c r="L20" s="395">
        <v>229.05</v>
      </c>
      <c r="M20" s="396">
        <v>-1.7463435931019428E-3</v>
      </c>
      <c r="N20" s="368" t="s">
        <v>277</v>
      </c>
      <c r="O20" s="395">
        <v>185.85234543670265</v>
      </c>
      <c r="P20" s="394">
        <v>189383.54</v>
      </c>
      <c r="Q20" s="394">
        <v>189383.54</v>
      </c>
      <c r="R20" s="394">
        <v>233401.95</v>
      </c>
      <c r="S20" s="394">
        <v>2038</v>
      </c>
      <c r="T20" s="394">
        <v>44018.41</v>
      </c>
      <c r="U20" s="394">
        <v>-407.6</v>
      </c>
      <c r="V20" s="396">
        <v>5.5999999999999999E-3</v>
      </c>
      <c r="W20" s="396">
        <v>5.5999999999999999E-3</v>
      </c>
      <c r="X20" s="394">
        <v>0</v>
      </c>
      <c r="Y20" s="394">
        <v>0</v>
      </c>
      <c r="Z20" s="405">
        <v>42766</v>
      </c>
      <c r="AA20" s="368" t="s">
        <v>278</v>
      </c>
      <c r="AB20" s="397"/>
      <c r="AC20" s="405"/>
      <c r="AD20" s="405"/>
      <c r="AE20" s="405"/>
      <c r="AF20" s="368"/>
      <c r="AG20" s="405"/>
      <c r="AH20" s="368" t="s">
        <v>79</v>
      </c>
      <c r="AI20" s="368" t="s">
        <v>279</v>
      </c>
      <c r="AJ20" s="368" t="s">
        <v>79</v>
      </c>
      <c r="AK20" s="368" t="s">
        <v>79</v>
      </c>
      <c r="AL20" s="368" t="s">
        <v>69</v>
      </c>
      <c r="AM20" s="368" t="s">
        <v>451</v>
      </c>
      <c r="AN20" s="368" t="s">
        <v>280</v>
      </c>
      <c r="AO20" s="402"/>
      <c r="AP20" s="402"/>
      <c r="AQ20" s="402"/>
    </row>
    <row r="21" spans="1:43" ht="12.95" customHeight="1">
      <c r="A21" s="402" t="str">
        <f t="shared" si="0"/>
        <v>QIFINE860A01027</v>
      </c>
      <c r="B21" s="368" t="s">
        <v>158</v>
      </c>
      <c r="C21" s="368" t="s">
        <v>273</v>
      </c>
      <c r="D21" s="368" t="s">
        <v>293</v>
      </c>
      <c r="E21" s="368" t="s">
        <v>126</v>
      </c>
      <c r="F21" s="368" t="s">
        <v>527</v>
      </c>
      <c r="G21" s="368" t="s">
        <v>275</v>
      </c>
      <c r="H21" s="368" t="s">
        <v>276</v>
      </c>
      <c r="I21" s="394">
        <v>741</v>
      </c>
      <c r="J21" s="394">
        <v>2</v>
      </c>
      <c r="K21" s="395">
        <v>840.25</v>
      </c>
      <c r="L21" s="395">
        <v>811.15</v>
      </c>
      <c r="M21" s="396">
        <v>-3.5874992294889968E-2</v>
      </c>
      <c r="N21" s="368" t="s">
        <v>277</v>
      </c>
      <c r="O21" s="395">
        <v>589.7879352226721</v>
      </c>
      <c r="P21" s="394">
        <v>437032.86</v>
      </c>
      <c r="Q21" s="394">
        <v>437032.86</v>
      </c>
      <c r="R21" s="394">
        <v>601062.15</v>
      </c>
      <c r="S21" s="394">
        <v>1482</v>
      </c>
      <c r="T21" s="394">
        <v>164029.29</v>
      </c>
      <c r="U21" s="394">
        <v>-21563.1</v>
      </c>
      <c r="V21" s="396">
        <v>1.4500000000000001E-2</v>
      </c>
      <c r="W21" s="396">
        <v>1.4500000000000001E-2</v>
      </c>
      <c r="X21" s="394">
        <v>0</v>
      </c>
      <c r="Y21" s="394">
        <v>0</v>
      </c>
      <c r="Z21" s="405">
        <v>42766</v>
      </c>
      <c r="AA21" s="368" t="s">
        <v>278</v>
      </c>
      <c r="AB21" s="397"/>
      <c r="AC21" s="405"/>
      <c r="AD21" s="405"/>
      <c r="AE21" s="405"/>
      <c r="AF21" s="368"/>
      <c r="AG21" s="405"/>
      <c r="AH21" s="368" t="s">
        <v>79</v>
      </c>
      <c r="AI21" s="368" t="s">
        <v>279</v>
      </c>
      <c r="AJ21" s="368" t="s">
        <v>79</v>
      </c>
      <c r="AK21" s="368" t="s">
        <v>79</v>
      </c>
      <c r="AL21" s="368" t="s">
        <v>63</v>
      </c>
      <c r="AM21" s="368" t="s">
        <v>452</v>
      </c>
      <c r="AN21" s="368" t="s">
        <v>280</v>
      </c>
      <c r="AO21" s="402"/>
      <c r="AP21" s="402"/>
      <c r="AQ21" s="402"/>
    </row>
    <row r="22" spans="1:43" ht="12.95" customHeight="1">
      <c r="A22" s="402" t="str">
        <f t="shared" si="0"/>
        <v>QIFINE040A01026</v>
      </c>
      <c r="B22" s="368" t="s">
        <v>158</v>
      </c>
      <c r="C22" s="368" t="s">
        <v>273</v>
      </c>
      <c r="D22" s="368" t="s">
        <v>294</v>
      </c>
      <c r="E22" s="368" t="s">
        <v>101</v>
      </c>
      <c r="F22" s="368" t="s">
        <v>528</v>
      </c>
      <c r="G22" s="368" t="s">
        <v>275</v>
      </c>
      <c r="H22" s="368" t="s">
        <v>276</v>
      </c>
      <c r="I22" s="394">
        <v>2635</v>
      </c>
      <c r="J22" s="394">
        <v>2</v>
      </c>
      <c r="K22" s="395">
        <v>1284.95</v>
      </c>
      <c r="L22" s="395">
        <v>1286.6500000000001</v>
      </c>
      <c r="M22" s="396">
        <v>1.321260638091167E-3</v>
      </c>
      <c r="N22" s="368" t="s">
        <v>277</v>
      </c>
      <c r="O22" s="395">
        <v>780.24799620493354</v>
      </c>
      <c r="P22" s="394">
        <v>2055953.47</v>
      </c>
      <c r="Q22" s="394">
        <v>2055953.47</v>
      </c>
      <c r="R22" s="394">
        <v>3390322.75</v>
      </c>
      <c r="S22" s="394">
        <v>5270</v>
      </c>
      <c r="T22" s="394">
        <v>1334369.28</v>
      </c>
      <c r="U22" s="394">
        <v>4479.5</v>
      </c>
      <c r="V22" s="396">
        <v>8.1900000000000001E-2</v>
      </c>
      <c r="W22" s="396">
        <v>8.1900000000000001E-2</v>
      </c>
      <c r="X22" s="394">
        <v>0</v>
      </c>
      <c r="Y22" s="394">
        <v>0</v>
      </c>
      <c r="Z22" s="405">
        <v>42766</v>
      </c>
      <c r="AA22" s="368" t="s">
        <v>278</v>
      </c>
      <c r="AB22" s="397"/>
      <c r="AC22" s="405"/>
      <c r="AD22" s="405"/>
      <c r="AE22" s="405"/>
      <c r="AF22" s="368"/>
      <c r="AG22" s="405"/>
      <c r="AH22" s="368" t="s">
        <v>79</v>
      </c>
      <c r="AI22" s="368" t="s">
        <v>279</v>
      </c>
      <c r="AJ22" s="368" t="s">
        <v>79</v>
      </c>
      <c r="AK22" s="368" t="s">
        <v>79</v>
      </c>
      <c r="AL22" s="368" t="s">
        <v>64</v>
      </c>
      <c r="AM22" s="368" t="s">
        <v>453</v>
      </c>
      <c r="AN22" s="368" t="s">
        <v>280</v>
      </c>
      <c r="AO22" s="402"/>
      <c r="AP22" s="402"/>
      <c r="AQ22" s="402"/>
    </row>
    <row r="23" spans="1:43" ht="12.95" customHeight="1">
      <c r="A23" s="402" t="str">
        <f t="shared" si="0"/>
        <v>QIFINE001A01036</v>
      </c>
      <c r="B23" s="368" t="s">
        <v>158</v>
      </c>
      <c r="C23" s="368" t="s">
        <v>273</v>
      </c>
      <c r="D23" s="368" t="s">
        <v>295</v>
      </c>
      <c r="E23" s="368" t="s">
        <v>100</v>
      </c>
      <c r="F23" s="368" t="s">
        <v>529</v>
      </c>
      <c r="G23" s="368" t="s">
        <v>275</v>
      </c>
      <c r="H23" s="368" t="s">
        <v>276</v>
      </c>
      <c r="I23" s="394">
        <v>2082</v>
      </c>
      <c r="J23" s="394">
        <v>2</v>
      </c>
      <c r="K23" s="395">
        <v>1371.9</v>
      </c>
      <c r="L23" s="395">
        <v>1365.85</v>
      </c>
      <c r="M23" s="396">
        <v>-4.4294761503825457E-3</v>
      </c>
      <c r="N23" s="368" t="s">
        <v>277</v>
      </c>
      <c r="O23" s="395">
        <v>922.20607588856865</v>
      </c>
      <c r="P23" s="394">
        <v>1920033.05</v>
      </c>
      <c r="Q23" s="394">
        <v>1920033.05</v>
      </c>
      <c r="R23" s="394">
        <v>2843699.7</v>
      </c>
      <c r="S23" s="394">
        <v>4164</v>
      </c>
      <c r="T23" s="394">
        <v>923666.65</v>
      </c>
      <c r="U23" s="394">
        <v>-12596.1</v>
      </c>
      <c r="V23" s="396">
        <v>6.8699999999999997E-2</v>
      </c>
      <c r="W23" s="396">
        <v>6.8699999999999997E-2</v>
      </c>
      <c r="X23" s="394">
        <v>0</v>
      </c>
      <c r="Y23" s="394">
        <v>0</v>
      </c>
      <c r="Z23" s="405">
        <v>42766</v>
      </c>
      <c r="AA23" s="368" t="s">
        <v>278</v>
      </c>
      <c r="AB23" s="397"/>
      <c r="AC23" s="405"/>
      <c r="AD23" s="405"/>
      <c r="AE23" s="405"/>
      <c r="AF23" s="368"/>
      <c r="AG23" s="405"/>
      <c r="AH23" s="368" t="s">
        <v>79</v>
      </c>
      <c r="AI23" s="368" t="s">
        <v>279</v>
      </c>
      <c r="AJ23" s="368" t="s">
        <v>79</v>
      </c>
      <c r="AK23" s="368" t="s">
        <v>79</v>
      </c>
      <c r="AL23" s="368" t="s">
        <v>65</v>
      </c>
      <c r="AM23" s="368" t="s">
        <v>454</v>
      </c>
      <c r="AN23" s="368" t="s">
        <v>280</v>
      </c>
      <c r="AO23" s="402"/>
      <c r="AP23" s="402"/>
      <c r="AQ23" s="402"/>
    </row>
    <row r="24" spans="1:43" ht="12.95" customHeight="1">
      <c r="A24" s="402" t="str">
        <f t="shared" si="0"/>
        <v>QIFINE158A01026</v>
      </c>
      <c r="B24" s="368" t="s">
        <v>158</v>
      </c>
      <c r="C24" s="368" t="s">
        <v>273</v>
      </c>
      <c r="D24" s="368" t="s">
        <v>296</v>
      </c>
      <c r="E24" s="368" t="s">
        <v>120</v>
      </c>
      <c r="F24" s="368" t="s">
        <v>530</v>
      </c>
      <c r="G24" s="368" t="s">
        <v>275</v>
      </c>
      <c r="H24" s="368" t="s">
        <v>276</v>
      </c>
      <c r="I24" s="394">
        <v>166</v>
      </c>
      <c r="J24" s="394">
        <v>2</v>
      </c>
      <c r="K24" s="395">
        <v>3194.7</v>
      </c>
      <c r="L24" s="395">
        <v>3172.35</v>
      </c>
      <c r="M24" s="396">
        <v>-7.0452503664475861E-3</v>
      </c>
      <c r="N24" s="368" t="s">
        <v>277</v>
      </c>
      <c r="O24" s="395">
        <v>2324.0201807228914</v>
      </c>
      <c r="P24" s="394">
        <v>385787.35</v>
      </c>
      <c r="Q24" s="394">
        <v>385787.35</v>
      </c>
      <c r="R24" s="394">
        <v>526610.1</v>
      </c>
      <c r="S24" s="394">
        <v>332</v>
      </c>
      <c r="T24" s="394">
        <v>140822.75</v>
      </c>
      <c r="U24" s="394">
        <v>-3710.1</v>
      </c>
      <c r="V24" s="396">
        <v>1.2699999999999999E-2</v>
      </c>
      <c r="W24" s="396">
        <v>1.2699999999999999E-2</v>
      </c>
      <c r="X24" s="394">
        <v>0</v>
      </c>
      <c r="Y24" s="394">
        <v>0</v>
      </c>
      <c r="Z24" s="405">
        <v>42766</v>
      </c>
      <c r="AA24" s="368" t="s">
        <v>278</v>
      </c>
      <c r="AB24" s="397"/>
      <c r="AC24" s="405"/>
      <c r="AD24" s="405"/>
      <c r="AE24" s="405"/>
      <c r="AF24" s="368"/>
      <c r="AG24" s="405"/>
      <c r="AH24" s="368" t="s">
        <v>79</v>
      </c>
      <c r="AI24" s="368" t="s">
        <v>279</v>
      </c>
      <c r="AJ24" s="368" t="s">
        <v>79</v>
      </c>
      <c r="AK24" s="368" t="s">
        <v>79</v>
      </c>
      <c r="AL24" s="368" t="s">
        <v>62</v>
      </c>
      <c r="AM24" s="368" t="s">
        <v>455</v>
      </c>
      <c r="AN24" s="368" t="s">
        <v>280</v>
      </c>
      <c r="AO24" s="402"/>
      <c r="AP24" s="402"/>
      <c r="AQ24" s="402"/>
    </row>
    <row r="25" spans="1:43" ht="12.95" customHeight="1">
      <c r="A25" s="402" t="str">
        <f t="shared" si="0"/>
        <v>QIFINE038A01020</v>
      </c>
      <c r="B25" s="368" t="s">
        <v>158</v>
      </c>
      <c r="C25" s="368" t="s">
        <v>273</v>
      </c>
      <c r="D25" s="368" t="s">
        <v>297</v>
      </c>
      <c r="E25" s="368" t="s">
        <v>124</v>
      </c>
      <c r="F25" s="368" t="s">
        <v>531</v>
      </c>
      <c r="G25" s="368" t="s">
        <v>275</v>
      </c>
      <c r="H25" s="368" t="s">
        <v>276</v>
      </c>
      <c r="I25" s="394">
        <v>1681</v>
      </c>
      <c r="J25" s="394">
        <v>1</v>
      </c>
      <c r="K25" s="395">
        <v>191.5</v>
      </c>
      <c r="L25" s="395">
        <v>189.95</v>
      </c>
      <c r="M25" s="396">
        <v>-8.1600421163464075E-3</v>
      </c>
      <c r="N25" s="368" t="s">
        <v>277</v>
      </c>
      <c r="O25" s="395">
        <v>139.15333729922665</v>
      </c>
      <c r="P25" s="394">
        <v>233916.76</v>
      </c>
      <c r="Q25" s="394">
        <v>233916.76</v>
      </c>
      <c r="R25" s="394">
        <v>319305.95</v>
      </c>
      <c r="S25" s="394">
        <v>1681</v>
      </c>
      <c r="T25" s="394">
        <v>85389.19</v>
      </c>
      <c r="U25" s="394">
        <v>-2605.5500000000002</v>
      </c>
      <c r="V25" s="396">
        <v>7.7000000000000002E-3</v>
      </c>
      <c r="W25" s="396">
        <v>7.7000000000000002E-3</v>
      </c>
      <c r="X25" s="394">
        <v>0</v>
      </c>
      <c r="Y25" s="394">
        <v>0</v>
      </c>
      <c r="Z25" s="405">
        <v>42766</v>
      </c>
      <c r="AA25" s="368" t="s">
        <v>278</v>
      </c>
      <c r="AB25" s="397"/>
      <c r="AC25" s="405"/>
      <c r="AD25" s="405"/>
      <c r="AE25" s="405"/>
      <c r="AF25" s="368"/>
      <c r="AG25" s="405"/>
      <c r="AH25" s="368" t="s">
        <v>79</v>
      </c>
      <c r="AI25" s="368" t="s">
        <v>279</v>
      </c>
      <c r="AJ25" s="368" t="s">
        <v>79</v>
      </c>
      <c r="AK25" s="368" t="s">
        <v>79</v>
      </c>
      <c r="AL25" s="368" t="s">
        <v>77</v>
      </c>
      <c r="AM25" s="368" t="s">
        <v>456</v>
      </c>
      <c r="AN25" s="368" t="s">
        <v>280</v>
      </c>
      <c r="AO25" s="402"/>
      <c r="AP25" s="402"/>
      <c r="AQ25" s="402"/>
    </row>
    <row r="26" spans="1:43" ht="12.95" customHeight="1">
      <c r="A26" s="402" t="str">
        <f t="shared" si="0"/>
        <v>QIFINE030A01027</v>
      </c>
      <c r="B26" s="368" t="s">
        <v>158</v>
      </c>
      <c r="C26" s="368" t="s">
        <v>273</v>
      </c>
      <c r="D26" s="368" t="s">
        <v>298</v>
      </c>
      <c r="E26" s="368" t="s">
        <v>104</v>
      </c>
      <c r="F26" s="368" t="s">
        <v>532</v>
      </c>
      <c r="G26" s="368" t="s">
        <v>275</v>
      </c>
      <c r="H26" s="368" t="s">
        <v>276</v>
      </c>
      <c r="I26" s="394">
        <v>942</v>
      </c>
      <c r="J26" s="394">
        <v>1</v>
      </c>
      <c r="K26" s="395">
        <v>853.55</v>
      </c>
      <c r="L26" s="395">
        <v>855.4</v>
      </c>
      <c r="M26" s="396">
        <v>2.1627308861351413E-3</v>
      </c>
      <c r="N26" s="368" t="s">
        <v>277</v>
      </c>
      <c r="O26" s="395">
        <v>587.31729299363053</v>
      </c>
      <c r="P26" s="394">
        <v>553252.89</v>
      </c>
      <c r="Q26" s="394">
        <v>553252.89</v>
      </c>
      <c r="R26" s="394">
        <v>805786.8</v>
      </c>
      <c r="S26" s="394">
        <v>942</v>
      </c>
      <c r="T26" s="394">
        <v>252533.91</v>
      </c>
      <c r="U26" s="394">
        <v>1742.7</v>
      </c>
      <c r="V26" s="396">
        <v>1.95E-2</v>
      </c>
      <c r="W26" s="396">
        <v>1.95E-2</v>
      </c>
      <c r="X26" s="394">
        <v>0</v>
      </c>
      <c r="Y26" s="394">
        <v>0</v>
      </c>
      <c r="Z26" s="405">
        <v>42766</v>
      </c>
      <c r="AA26" s="368" t="s">
        <v>278</v>
      </c>
      <c r="AB26" s="397"/>
      <c r="AC26" s="405"/>
      <c r="AD26" s="405"/>
      <c r="AE26" s="405"/>
      <c r="AF26" s="368"/>
      <c r="AG26" s="405"/>
      <c r="AH26" s="368" t="s">
        <v>79</v>
      </c>
      <c r="AI26" s="368" t="s">
        <v>279</v>
      </c>
      <c r="AJ26" s="368" t="s">
        <v>79</v>
      </c>
      <c r="AK26" s="368" t="s">
        <v>79</v>
      </c>
      <c r="AL26" s="368" t="s">
        <v>68</v>
      </c>
      <c r="AM26" s="368" t="s">
        <v>457</v>
      </c>
      <c r="AN26" s="368" t="s">
        <v>280</v>
      </c>
      <c r="AO26" s="402"/>
      <c r="AP26" s="402"/>
      <c r="AQ26" s="402"/>
    </row>
    <row r="27" spans="1:43" ht="12.95" customHeight="1">
      <c r="A27" s="402" t="str">
        <f t="shared" si="0"/>
        <v>QIFINE090A01021</v>
      </c>
      <c r="B27" s="368" t="s">
        <v>158</v>
      </c>
      <c r="C27" s="368" t="s">
        <v>273</v>
      </c>
      <c r="D27" s="368" t="s">
        <v>299</v>
      </c>
      <c r="E27" s="368" t="s">
        <v>204</v>
      </c>
      <c r="F27" s="368" t="s">
        <v>533</v>
      </c>
      <c r="G27" s="368" t="s">
        <v>275</v>
      </c>
      <c r="H27" s="368" t="s">
        <v>276</v>
      </c>
      <c r="I27" s="394">
        <v>7646</v>
      </c>
      <c r="J27" s="394">
        <v>2</v>
      </c>
      <c r="K27" s="395">
        <v>270.8</v>
      </c>
      <c r="L27" s="395">
        <v>268.95</v>
      </c>
      <c r="M27" s="396">
        <v>-6.8786019706265104E-3</v>
      </c>
      <c r="N27" s="368" t="s">
        <v>277</v>
      </c>
      <c r="O27" s="395">
        <v>238.58302772691604</v>
      </c>
      <c r="P27" s="394">
        <v>1824205.83</v>
      </c>
      <c r="Q27" s="394">
        <v>1824205.83</v>
      </c>
      <c r="R27" s="394">
        <v>2056391.7</v>
      </c>
      <c r="S27" s="394">
        <v>15292</v>
      </c>
      <c r="T27" s="394">
        <v>232185.87</v>
      </c>
      <c r="U27" s="394">
        <v>-14145.1</v>
      </c>
      <c r="V27" s="396">
        <v>4.9700000000000001E-2</v>
      </c>
      <c r="W27" s="396">
        <v>4.9700000000000001E-2</v>
      </c>
      <c r="X27" s="394">
        <v>0</v>
      </c>
      <c r="Y27" s="394">
        <v>0</v>
      </c>
      <c r="Z27" s="405">
        <v>42766</v>
      </c>
      <c r="AA27" s="368" t="s">
        <v>278</v>
      </c>
      <c r="AB27" s="397"/>
      <c r="AC27" s="405"/>
      <c r="AD27" s="405"/>
      <c r="AE27" s="405"/>
      <c r="AF27" s="368"/>
      <c r="AG27" s="405"/>
      <c r="AH27" s="368" t="s">
        <v>79</v>
      </c>
      <c r="AI27" s="368" t="s">
        <v>279</v>
      </c>
      <c r="AJ27" s="368" t="s">
        <v>79</v>
      </c>
      <c r="AK27" s="368" t="s">
        <v>79</v>
      </c>
      <c r="AL27" s="368" t="s">
        <v>64</v>
      </c>
      <c r="AM27" s="368" t="s">
        <v>458</v>
      </c>
      <c r="AN27" s="368" t="s">
        <v>280</v>
      </c>
      <c r="AO27" s="402"/>
      <c r="AP27" s="402"/>
      <c r="AQ27" s="402"/>
    </row>
    <row r="28" spans="1:43" ht="12.95" customHeight="1">
      <c r="A28" s="402" t="str">
        <f t="shared" si="0"/>
        <v>QIFINE095A01012</v>
      </c>
      <c r="B28" s="368" t="s">
        <v>158</v>
      </c>
      <c r="C28" s="368" t="s">
        <v>273</v>
      </c>
      <c r="D28" s="368" t="s">
        <v>300</v>
      </c>
      <c r="E28" s="368" t="s">
        <v>168</v>
      </c>
      <c r="F28" s="368" t="s">
        <v>534</v>
      </c>
      <c r="G28" s="368" t="s">
        <v>275</v>
      </c>
      <c r="H28" s="368" t="s">
        <v>276</v>
      </c>
      <c r="I28" s="394">
        <v>659</v>
      </c>
      <c r="J28" s="394">
        <v>10</v>
      </c>
      <c r="K28" s="395">
        <v>1239.7</v>
      </c>
      <c r="L28" s="395">
        <v>1252.05</v>
      </c>
      <c r="M28" s="396">
        <v>9.863823329739228E-3</v>
      </c>
      <c r="N28" s="368" t="s">
        <v>277</v>
      </c>
      <c r="O28" s="395">
        <v>690.0985128983308</v>
      </c>
      <c r="P28" s="394">
        <v>454774.92</v>
      </c>
      <c r="Q28" s="394">
        <v>454774.92</v>
      </c>
      <c r="R28" s="394">
        <v>825100.95</v>
      </c>
      <c r="S28" s="394">
        <v>6590</v>
      </c>
      <c r="T28" s="394">
        <v>370326.03</v>
      </c>
      <c r="U28" s="394">
        <v>8138.65</v>
      </c>
      <c r="V28" s="396">
        <v>1.9900000000000001E-2</v>
      </c>
      <c r="W28" s="396">
        <v>1.9900000000000001E-2</v>
      </c>
      <c r="X28" s="394">
        <v>0</v>
      </c>
      <c r="Y28" s="394">
        <v>0</v>
      </c>
      <c r="Z28" s="405">
        <v>42766</v>
      </c>
      <c r="AA28" s="368" t="s">
        <v>278</v>
      </c>
      <c r="AB28" s="397"/>
      <c r="AC28" s="405"/>
      <c r="AD28" s="405"/>
      <c r="AE28" s="405"/>
      <c r="AF28" s="368"/>
      <c r="AG28" s="405"/>
      <c r="AH28" s="368" t="s">
        <v>79</v>
      </c>
      <c r="AI28" s="368" t="s">
        <v>279</v>
      </c>
      <c r="AJ28" s="368" t="s">
        <v>79</v>
      </c>
      <c r="AK28" s="368" t="s">
        <v>79</v>
      </c>
      <c r="AL28" s="368" t="s">
        <v>64</v>
      </c>
      <c r="AM28" s="368" t="s">
        <v>459</v>
      </c>
      <c r="AN28" s="368" t="s">
        <v>280</v>
      </c>
      <c r="AO28" s="402"/>
      <c r="AP28" s="402"/>
      <c r="AQ28" s="402"/>
    </row>
    <row r="29" spans="1:43" ht="12.95" customHeight="1">
      <c r="A29" s="402" t="str">
        <f t="shared" si="0"/>
        <v>QIFINE009A01021</v>
      </c>
      <c r="B29" s="368" t="s">
        <v>158</v>
      </c>
      <c r="C29" s="368" t="s">
        <v>273</v>
      </c>
      <c r="D29" s="368" t="s">
        <v>301</v>
      </c>
      <c r="E29" s="368" t="s">
        <v>99</v>
      </c>
      <c r="F29" s="368" t="s">
        <v>535</v>
      </c>
      <c r="G29" s="368" t="s">
        <v>275</v>
      </c>
      <c r="H29" s="368" t="s">
        <v>276</v>
      </c>
      <c r="I29" s="394">
        <v>2625</v>
      </c>
      <c r="J29" s="394">
        <v>5</v>
      </c>
      <c r="K29" s="395">
        <v>949.35</v>
      </c>
      <c r="L29" s="395">
        <v>928.6</v>
      </c>
      <c r="M29" s="396">
        <v>-2.2345466293344819E-2</v>
      </c>
      <c r="N29" s="368" t="s">
        <v>277</v>
      </c>
      <c r="O29" s="395">
        <v>815.33734476190477</v>
      </c>
      <c r="P29" s="394">
        <v>2140260.5299999998</v>
      </c>
      <c r="Q29" s="394">
        <v>2140260.5299999998</v>
      </c>
      <c r="R29" s="394">
        <v>2437575</v>
      </c>
      <c r="S29" s="394">
        <v>13125</v>
      </c>
      <c r="T29" s="394">
        <v>297314.46999999997</v>
      </c>
      <c r="U29" s="394">
        <v>-54468.75</v>
      </c>
      <c r="V29" s="396">
        <v>5.8900000000000001E-2</v>
      </c>
      <c r="W29" s="396">
        <v>5.8900000000000001E-2</v>
      </c>
      <c r="X29" s="394">
        <v>0</v>
      </c>
      <c r="Y29" s="394">
        <v>0</v>
      </c>
      <c r="Z29" s="405">
        <v>42766</v>
      </c>
      <c r="AA29" s="368" t="s">
        <v>278</v>
      </c>
      <c r="AB29" s="397"/>
      <c r="AC29" s="405"/>
      <c r="AD29" s="405"/>
      <c r="AE29" s="405"/>
      <c r="AF29" s="368"/>
      <c r="AG29" s="405"/>
      <c r="AH29" s="368" t="s">
        <v>79</v>
      </c>
      <c r="AI29" s="368" t="s">
        <v>279</v>
      </c>
      <c r="AJ29" s="368" t="s">
        <v>79</v>
      </c>
      <c r="AK29" s="368" t="s">
        <v>79</v>
      </c>
      <c r="AL29" s="368" t="s">
        <v>63</v>
      </c>
      <c r="AM29" s="368" t="s">
        <v>460</v>
      </c>
      <c r="AN29" s="368" t="s">
        <v>280</v>
      </c>
      <c r="AO29" s="402"/>
      <c r="AP29" s="402"/>
      <c r="AQ29" s="402"/>
    </row>
    <row r="30" spans="1:43" ht="12.95" customHeight="1">
      <c r="A30" s="402" t="str">
        <f t="shared" si="0"/>
        <v>QIFINE154A01025</v>
      </c>
      <c r="B30" s="368" t="s">
        <v>158</v>
      </c>
      <c r="C30" s="368" t="s">
        <v>273</v>
      </c>
      <c r="D30" s="368" t="s">
        <v>302</v>
      </c>
      <c r="E30" s="368" t="s">
        <v>130</v>
      </c>
      <c r="F30" s="368" t="s">
        <v>536</v>
      </c>
      <c r="G30" s="368" t="s">
        <v>275</v>
      </c>
      <c r="H30" s="368" t="s">
        <v>276</v>
      </c>
      <c r="I30" s="394">
        <v>11143</v>
      </c>
      <c r="J30" s="394">
        <v>1</v>
      </c>
      <c r="K30" s="395">
        <v>256.10000000000002</v>
      </c>
      <c r="L30" s="395">
        <v>258.10000000000002</v>
      </c>
      <c r="M30" s="396">
        <v>7.7489345215032935E-3</v>
      </c>
      <c r="N30" s="368" t="s">
        <v>277</v>
      </c>
      <c r="O30" s="395">
        <v>183.02528313739566</v>
      </c>
      <c r="P30" s="394">
        <v>2039450.73</v>
      </c>
      <c r="Q30" s="394">
        <v>2039450.73</v>
      </c>
      <c r="R30" s="394">
        <v>2876008.3</v>
      </c>
      <c r="S30" s="394">
        <v>11143</v>
      </c>
      <c r="T30" s="394">
        <v>836557.57</v>
      </c>
      <c r="U30" s="394">
        <v>22286</v>
      </c>
      <c r="V30" s="396">
        <v>6.9500000000000006E-2</v>
      </c>
      <c r="W30" s="396">
        <v>6.9500000000000006E-2</v>
      </c>
      <c r="X30" s="394">
        <v>0</v>
      </c>
      <c r="Y30" s="394">
        <v>0</v>
      </c>
      <c r="Z30" s="405">
        <v>42766</v>
      </c>
      <c r="AA30" s="368" t="s">
        <v>278</v>
      </c>
      <c r="AB30" s="397"/>
      <c r="AC30" s="405"/>
      <c r="AD30" s="405"/>
      <c r="AE30" s="405"/>
      <c r="AF30" s="368"/>
      <c r="AG30" s="405"/>
      <c r="AH30" s="368" t="s">
        <v>79</v>
      </c>
      <c r="AI30" s="368" t="s">
        <v>279</v>
      </c>
      <c r="AJ30" s="368" t="s">
        <v>79</v>
      </c>
      <c r="AK30" s="368" t="s">
        <v>79</v>
      </c>
      <c r="AL30" s="368" t="s">
        <v>68</v>
      </c>
      <c r="AM30" s="368" t="s">
        <v>461</v>
      </c>
      <c r="AN30" s="368" t="s">
        <v>280</v>
      </c>
      <c r="AO30" s="402"/>
      <c r="AP30" s="402"/>
      <c r="AQ30" s="402"/>
    </row>
    <row r="31" spans="1:43" ht="12.95" customHeight="1">
      <c r="A31" s="402" t="str">
        <f t="shared" si="0"/>
        <v>QIFINE237A01028</v>
      </c>
      <c r="B31" s="368" t="s">
        <v>158</v>
      </c>
      <c r="C31" s="368" t="s">
        <v>273</v>
      </c>
      <c r="D31" s="368" t="s">
        <v>303</v>
      </c>
      <c r="E31" s="368" t="s">
        <v>112</v>
      </c>
      <c r="F31" s="368" t="s">
        <v>537</v>
      </c>
      <c r="G31" s="368" t="s">
        <v>275</v>
      </c>
      <c r="H31" s="368" t="s">
        <v>276</v>
      </c>
      <c r="I31" s="394">
        <v>1549</v>
      </c>
      <c r="J31" s="394">
        <v>5</v>
      </c>
      <c r="K31" s="395">
        <v>775.6</v>
      </c>
      <c r="L31" s="395">
        <v>774.15</v>
      </c>
      <c r="M31" s="396">
        <v>-1.8730220241555255E-3</v>
      </c>
      <c r="N31" s="368" t="s">
        <v>277</v>
      </c>
      <c r="O31" s="395">
        <v>544.109838605552</v>
      </c>
      <c r="P31" s="394">
        <v>842826.14</v>
      </c>
      <c r="Q31" s="394">
        <v>842826.14</v>
      </c>
      <c r="R31" s="394">
        <v>1199158.3500000001</v>
      </c>
      <c r="S31" s="394">
        <v>7745</v>
      </c>
      <c r="T31" s="394">
        <v>356332.21</v>
      </c>
      <c r="U31" s="394">
        <v>-2246.0500000000002</v>
      </c>
      <c r="V31" s="396">
        <v>2.9000000000000001E-2</v>
      </c>
      <c r="W31" s="396">
        <v>2.9000000000000001E-2</v>
      </c>
      <c r="X31" s="394">
        <v>0</v>
      </c>
      <c r="Y31" s="394">
        <v>0</v>
      </c>
      <c r="Z31" s="405">
        <v>42766</v>
      </c>
      <c r="AA31" s="368" t="s">
        <v>278</v>
      </c>
      <c r="AB31" s="397"/>
      <c r="AC31" s="405"/>
      <c r="AD31" s="405"/>
      <c r="AE31" s="405"/>
      <c r="AF31" s="368"/>
      <c r="AG31" s="405"/>
      <c r="AH31" s="368" t="s">
        <v>79</v>
      </c>
      <c r="AI31" s="368" t="s">
        <v>279</v>
      </c>
      <c r="AJ31" s="368" t="s">
        <v>79</v>
      </c>
      <c r="AK31" s="368" t="s">
        <v>79</v>
      </c>
      <c r="AL31" s="368" t="s">
        <v>64</v>
      </c>
      <c r="AM31" s="368" t="s">
        <v>462</v>
      </c>
      <c r="AN31" s="368" t="s">
        <v>280</v>
      </c>
      <c r="AO31" s="402"/>
      <c r="AP31" s="402"/>
      <c r="AQ31" s="402"/>
    </row>
    <row r="32" spans="1:43" ht="12.95" customHeight="1">
      <c r="A32" s="402" t="str">
        <f t="shared" si="0"/>
        <v>QIFINE018A01030</v>
      </c>
      <c r="B32" s="368" t="s">
        <v>158</v>
      </c>
      <c r="C32" s="368" t="s">
        <v>273</v>
      </c>
      <c r="D32" s="368" t="s">
        <v>304</v>
      </c>
      <c r="E32" s="368" t="s">
        <v>102</v>
      </c>
      <c r="F32" s="368" t="s">
        <v>538</v>
      </c>
      <c r="G32" s="368" t="s">
        <v>275</v>
      </c>
      <c r="H32" s="368" t="s">
        <v>276</v>
      </c>
      <c r="I32" s="394">
        <v>1081</v>
      </c>
      <c r="J32" s="394">
        <v>2</v>
      </c>
      <c r="K32" s="395">
        <v>1442.8</v>
      </c>
      <c r="L32" s="395">
        <v>1446.25</v>
      </c>
      <c r="M32" s="396">
        <v>2.3854796888504752E-3</v>
      </c>
      <c r="N32" s="368" t="s">
        <v>277</v>
      </c>
      <c r="O32" s="395">
        <v>1355.7775855689176</v>
      </c>
      <c r="P32" s="394">
        <v>1465595.57</v>
      </c>
      <c r="Q32" s="394">
        <v>1465595.57</v>
      </c>
      <c r="R32" s="394">
        <v>1563396.25</v>
      </c>
      <c r="S32" s="394">
        <v>2162</v>
      </c>
      <c r="T32" s="394">
        <v>97800.68</v>
      </c>
      <c r="U32" s="394">
        <v>3729.45</v>
      </c>
      <c r="V32" s="396">
        <v>3.78E-2</v>
      </c>
      <c r="W32" s="396">
        <v>3.78E-2</v>
      </c>
      <c r="X32" s="394">
        <v>0</v>
      </c>
      <c r="Y32" s="394">
        <v>0</v>
      </c>
      <c r="Z32" s="405">
        <v>42766</v>
      </c>
      <c r="AA32" s="368" t="s">
        <v>278</v>
      </c>
      <c r="AB32" s="397"/>
      <c r="AC32" s="405"/>
      <c r="AD32" s="405"/>
      <c r="AE32" s="405"/>
      <c r="AF32" s="368"/>
      <c r="AG32" s="405"/>
      <c r="AH32" s="368" t="s">
        <v>79</v>
      </c>
      <c r="AI32" s="368" t="s">
        <v>279</v>
      </c>
      <c r="AJ32" s="368" t="s">
        <v>79</v>
      </c>
      <c r="AK32" s="368" t="s">
        <v>79</v>
      </c>
      <c r="AL32" s="368" t="s">
        <v>71</v>
      </c>
      <c r="AM32" s="368" t="s">
        <v>463</v>
      </c>
      <c r="AN32" s="368" t="s">
        <v>280</v>
      </c>
      <c r="AO32" s="402"/>
      <c r="AP32" s="402"/>
      <c r="AQ32" s="402"/>
    </row>
    <row r="33" spans="1:43" ht="12.95" customHeight="1">
      <c r="A33" s="402" t="str">
        <f t="shared" si="0"/>
        <v>QIFINE326A01037</v>
      </c>
      <c r="B33" s="368" t="s">
        <v>158</v>
      </c>
      <c r="C33" s="368" t="s">
        <v>273</v>
      </c>
      <c r="D33" s="368" t="s">
        <v>305</v>
      </c>
      <c r="E33" s="368" t="s">
        <v>127</v>
      </c>
      <c r="F33" s="368" t="s">
        <v>539</v>
      </c>
      <c r="G33" s="368" t="s">
        <v>275</v>
      </c>
      <c r="H33" s="368" t="s">
        <v>276</v>
      </c>
      <c r="I33" s="394">
        <v>314</v>
      </c>
      <c r="J33" s="394">
        <v>2</v>
      </c>
      <c r="K33" s="395">
        <v>1499.7</v>
      </c>
      <c r="L33" s="395">
        <v>1470.7</v>
      </c>
      <c r="M33" s="396">
        <v>-1.9718501393894063E-2</v>
      </c>
      <c r="N33" s="368" t="s">
        <v>277</v>
      </c>
      <c r="O33" s="395">
        <v>1070.6250636942675</v>
      </c>
      <c r="P33" s="394">
        <v>336176.27</v>
      </c>
      <c r="Q33" s="394">
        <v>336176.27</v>
      </c>
      <c r="R33" s="394">
        <v>461799.8</v>
      </c>
      <c r="S33" s="394">
        <v>628</v>
      </c>
      <c r="T33" s="394">
        <v>125623.53</v>
      </c>
      <c r="U33" s="394">
        <v>-9106</v>
      </c>
      <c r="V33" s="396">
        <v>1.12E-2</v>
      </c>
      <c r="W33" s="396">
        <v>1.12E-2</v>
      </c>
      <c r="X33" s="394">
        <v>0</v>
      </c>
      <c r="Y33" s="394">
        <v>0</v>
      </c>
      <c r="Z33" s="405">
        <v>42766</v>
      </c>
      <c r="AA33" s="368" t="s">
        <v>278</v>
      </c>
      <c r="AB33" s="397"/>
      <c r="AC33" s="405"/>
      <c r="AD33" s="405"/>
      <c r="AE33" s="405"/>
      <c r="AF33" s="368"/>
      <c r="AG33" s="405"/>
      <c r="AH33" s="368" t="s">
        <v>79</v>
      </c>
      <c r="AI33" s="368" t="s">
        <v>279</v>
      </c>
      <c r="AJ33" s="368" t="s">
        <v>79</v>
      </c>
      <c r="AK33" s="368" t="s">
        <v>79</v>
      </c>
      <c r="AL33" s="368" t="s">
        <v>75</v>
      </c>
      <c r="AM33" s="368" t="s">
        <v>464</v>
      </c>
      <c r="AN33" s="368" t="s">
        <v>280</v>
      </c>
      <c r="AO33" s="402"/>
      <c r="AP33" s="402"/>
      <c r="AQ33" s="402"/>
    </row>
    <row r="34" spans="1:43" ht="12.95" customHeight="1">
      <c r="A34" s="402" t="str">
        <f t="shared" si="0"/>
        <v>QIFINE101A01026</v>
      </c>
      <c r="B34" s="368" t="s">
        <v>158</v>
      </c>
      <c r="C34" s="368" t="s">
        <v>273</v>
      </c>
      <c r="D34" s="368" t="s">
        <v>306</v>
      </c>
      <c r="E34" s="368" t="s">
        <v>107</v>
      </c>
      <c r="F34" s="368" t="s">
        <v>540</v>
      </c>
      <c r="G34" s="368" t="s">
        <v>275</v>
      </c>
      <c r="H34" s="368" t="s">
        <v>276</v>
      </c>
      <c r="I34" s="394">
        <v>614</v>
      </c>
      <c r="J34" s="394">
        <v>5</v>
      </c>
      <c r="K34" s="395">
        <v>1245.5999999999999</v>
      </c>
      <c r="L34" s="395">
        <v>1240.0999999999999</v>
      </c>
      <c r="M34" s="396">
        <v>-4.4351261995000399E-3</v>
      </c>
      <c r="N34" s="368" t="s">
        <v>277</v>
      </c>
      <c r="O34" s="395">
        <v>1013.6192182410423</v>
      </c>
      <c r="P34" s="394">
        <v>622362.19999999995</v>
      </c>
      <c r="Q34" s="394">
        <v>622362.19999999995</v>
      </c>
      <c r="R34" s="394">
        <v>761421.4</v>
      </c>
      <c r="S34" s="394">
        <v>3070</v>
      </c>
      <c r="T34" s="394">
        <v>139059.20000000001</v>
      </c>
      <c r="U34" s="394">
        <v>-3377</v>
      </c>
      <c r="V34" s="396">
        <v>1.84E-2</v>
      </c>
      <c r="W34" s="396">
        <v>1.84E-2</v>
      </c>
      <c r="X34" s="394">
        <v>0</v>
      </c>
      <c r="Y34" s="394">
        <v>0</v>
      </c>
      <c r="Z34" s="405">
        <v>42766</v>
      </c>
      <c r="AA34" s="368" t="s">
        <v>278</v>
      </c>
      <c r="AB34" s="397"/>
      <c r="AC34" s="405"/>
      <c r="AD34" s="405"/>
      <c r="AE34" s="405"/>
      <c r="AF34" s="368"/>
      <c r="AG34" s="405"/>
      <c r="AH34" s="368" t="s">
        <v>79</v>
      </c>
      <c r="AI34" s="368" t="s">
        <v>279</v>
      </c>
      <c r="AJ34" s="368" t="s">
        <v>79</v>
      </c>
      <c r="AK34" s="368" t="s">
        <v>79</v>
      </c>
      <c r="AL34" s="368" t="s">
        <v>62</v>
      </c>
      <c r="AM34" s="368" t="s">
        <v>465</v>
      </c>
      <c r="AN34" s="368" t="s">
        <v>280</v>
      </c>
      <c r="AO34" s="402"/>
      <c r="AP34" s="402"/>
      <c r="AQ34" s="402"/>
    </row>
    <row r="35" spans="1:43" ht="12.95" customHeight="1">
      <c r="A35" s="402" t="str">
        <f t="shared" si="0"/>
        <v>QIFINE585B01010</v>
      </c>
      <c r="B35" s="368" t="s">
        <v>158</v>
      </c>
      <c r="C35" s="368" t="s">
        <v>273</v>
      </c>
      <c r="D35" s="368" t="s">
        <v>307</v>
      </c>
      <c r="E35" s="368" t="s">
        <v>119</v>
      </c>
      <c r="F35" s="368" t="s">
        <v>541</v>
      </c>
      <c r="G35" s="368" t="s">
        <v>275</v>
      </c>
      <c r="H35" s="368" t="s">
        <v>276</v>
      </c>
      <c r="I35" s="394">
        <v>175</v>
      </c>
      <c r="J35" s="394">
        <v>5</v>
      </c>
      <c r="K35" s="395">
        <v>5894.95</v>
      </c>
      <c r="L35" s="395">
        <v>5894.25</v>
      </c>
      <c r="M35" s="396">
        <v>-1.1875980828773804E-4</v>
      </c>
      <c r="N35" s="368" t="s">
        <v>277</v>
      </c>
      <c r="O35" s="395">
        <v>2511.6805142857143</v>
      </c>
      <c r="P35" s="394">
        <v>439544.09</v>
      </c>
      <c r="Q35" s="394">
        <v>439544.09</v>
      </c>
      <c r="R35" s="394">
        <v>1031493.75</v>
      </c>
      <c r="S35" s="394">
        <v>875</v>
      </c>
      <c r="T35" s="394">
        <v>591949.66</v>
      </c>
      <c r="U35" s="394">
        <v>-122.5</v>
      </c>
      <c r="V35" s="396">
        <v>2.4899999999999999E-2</v>
      </c>
      <c r="W35" s="396">
        <v>2.4899999999999999E-2</v>
      </c>
      <c r="X35" s="394">
        <v>0</v>
      </c>
      <c r="Y35" s="394">
        <v>0</v>
      </c>
      <c r="Z35" s="405">
        <v>42766</v>
      </c>
      <c r="AA35" s="368" t="s">
        <v>278</v>
      </c>
      <c r="AB35" s="397"/>
      <c r="AC35" s="405"/>
      <c r="AD35" s="405"/>
      <c r="AE35" s="405"/>
      <c r="AF35" s="368"/>
      <c r="AG35" s="405"/>
      <c r="AH35" s="368" t="s">
        <v>79</v>
      </c>
      <c r="AI35" s="368" t="s">
        <v>279</v>
      </c>
      <c r="AJ35" s="368" t="s">
        <v>79</v>
      </c>
      <c r="AK35" s="368" t="s">
        <v>79</v>
      </c>
      <c r="AL35" s="368" t="s">
        <v>62</v>
      </c>
      <c r="AM35" s="368" t="s">
        <v>466</v>
      </c>
      <c r="AN35" s="368" t="s">
        <v>280</v>
      </c>
      <c r="AO35" s="402"/>
      <c r="AP35" s="402"/>
      <c r="AQ35" s="402"/>
    </row>
    <row r="36" spans="1:43" ht="12.95" customHeight="1">
      <c r="A36" s="402" t="str">
        <f t="shared" si="0"/>
        <v>QIFINE323A01026</v>
      </c>
      <c r="B36" s="368" t="s">
        <v>158</v>
      </c>
      <c r="C36" s="368" t="s">
        <v>273</v>
      </c>
      <c r="D36" s="368" t="s">
        <v>308</v>
      </c>
      <c r="E36" s="368" t="s">
        <v>223</v>
      </c>
      <c r="F36" s="368" t="s">
        <v>542</v>
      </c>
      <c r="G36" s="368" t="s">
        <v>275</v>
      </c>
      <c r="H36" s="368" t="s">
        <v>276</v>
      </c>
      <c r="I36" s="394">
        <v>12</v>
      </c>
      <c r="J36" s="394">
        <v>10</v>
      </c>
      <c r="K36" s="395">
        <v>22254.95</v>
      </c>
      <c r="L36" s="395">
        <v>22130.75</v>
      </c>
      <c r="M36" s="396">
        <v>-5.612100809958994E-3</v>
      </c>
      <c r="N36" s="368" t="s">
        <v>277</v>
      </c>
      <c r="O36" s="395">
        <v>21611.6325</v>
      </c>
      <c r="P36" s="394">
        <v>259339.59</v>
      </c>
      <c r="Q36" s="394">
        <v>259339.59</v>
      </c>
      <c r="R36" s="394">
        <v>265569</v>
      </c>
      <c r="S36" s="394">
        <v>120</v>
      </c>
      <c r="T36" s="394">
        <v>6229.41</v>
      </c>
      <c r="U36" s="394">
        <v>-1490.4</v>
      </c>
      <c r="V36" s="396">
        <v>6.4000000000000003E-3</v>
      </c>
      <c r="W36" s="396">
        <v>6.4000000000000003E-3</v>
      </c>
      <c r="X36" s="394">
        <v>0</v>
      </c>
      <c r="Y36" s="394">
        <v>0</v>
      </c>
      <c r="Z36" s="405">
        <v>42766</v>
      </c>
      <c r="AA36" s="368" t="s">
        <v>278</v>
      </c>
      <c r="AB36" s="397"/>
      <c r="AC36" s="405"/>
      <c r="AD36" s="405"/>
      <c r="AE36" s="405"/>
      <c r="AF36" s="368"/>
      <c r="AG36" s="405"/>
      <c r="AH36" s="368" t="s">
        <v>79</v>
      </c>
      <c r="AI36" s="368" t="s">
        <v>279</v>
      </c>
      <c r="AJ36" s="368" t="s">
        <v>79</v>
      </c>
      <c r="AK36" s="368" t="s">
        <v>79</v>
      </c>
      <c r="AL36" s="368" t="s">
        <v>179</v>
      </c>
      <c r="AM36" s="368" t="s">
        <v>467</v>
      </c>
      <c r="AN36" s="368" t="s">
        <v>280</v>
      </c>
      <c r="AO36" s="402"/>
      <c r="AP36" s="402"/>
      <c r="AQ36" s="402"/>
    </row>
    <row r="37" spans="1:43" ht="12.95" customHeight="1">
      <c r="A37" s="402" t="str">
        <f t="shared" si="0"/>
        <v>QIFINE742F01042</v>
      </c>
      <c r="B37" s="368" t="s">
        <v>158</v>
      </c>
      <c r="C37" s="368" t="s">
        <v>273</v>
      </c>
      <c r="D37" s="368" t="s">
        <v>416</v>
      </c>
      <c r="E37" s="368" t="s">
        <v>417</v>
      </c>
      <c r="F37" s="368" t="s">
        <v>543</v>
      </c>
      <c r="G37" s="368" t="s">
        <v>275</v>
      </c>
      <c r="H37" s="368" t="s">
        <v>276</v>
      </c>
      <c r="I37" s="394">
        <v>1116</v>
      </c>
      <c r="J37" s="394">
        <v>2</v>
      </c>
      <c r="K37" s="395">
        <v>302.60000000000002</v>
      </c>
      <c r="L37" s="395">
        <v>293.35000000000002</v>
      </c>
      <c r="M37" s="396">
        <v>-3.153229930117607E-2</v>
      </c>
      <c r="N37" s="368" t="s">
        <v>277</v>
      </c>
      <c r="O37" s="395">
        <v>285.96467741935481</v>
      </c>
      <c r="P37" s="394">
        <v>319136.58</v>
      </c>
      <c r="Q37" s="394">
        <v>319136.58</v>
      </c>
      <c r="R37" s="394">
        <v>327378.59999999998</v>
      </c>
      <c r="S37" s="394">
        <v>2232</v>
      </c>
      <c r="T37" s="394">
        <v>8242.02</v>
      </c>
      <c r="U37" s="394">
        <v>-10323</v>
      </c>
      <c r="V37" s="396">
        <v>7.9000000000000008E-3</v>
      </c>
      <c r="W37" s="396">
        <v>7.9000000000000008E-3</v>
      </c>
      <c r="X37" s="394">
        <v>0</v>
      </c>
      <c r="Y37" s="394">
        <v>0</v>
      </c>
      <c r="Z37" s="405">
        <v>42766</v>
      </c>
      <c r="AA37" s="368" t="s">
        <v>278</v>
      </c>
      <c r="AB37" s="397"/>
      <c r="AC37" s="405"/>
      <c r="AD37" s="405"/>
      <c r="AE37" s="405"/>
      <c r="AF37" s="368"/>
      <c r="AG37" s="405"/>
      <c r="AH37" s="368" t="s">
        <v>79</v>
      </c>
      <c r="AI37" s="368" t="s">
        <v>279</v>
      </c>
      <c r="AJ37" s="368" t="s">
        <v>79</v>
      </c>
      <c r="AK37" s="368" t="s">
        <v>79</v>
      </c>
      <c r="AL37" s="368" t="s">
        <v>418</v>
      </c>
      <c r="AM37" s="368" t="s">
        <v>468</v>
      </c>
      <c r="AN37" s="368" t="s">
        <v>280</v>
      </c>
      <c r="AO37" s="402"/>
      <c r="AP37" s="402"/>
      <c r="AQ37" s="402"/>
    </row>
    <row r="38" spans="1:43" ht="12.95" customHeight="1">
      <c r="A38" s="402" t="str">
        <f t="shared" si="0"/>
        <v>QIFINE733E01010</v>
      </c>
      <c r="B38" s="368" t="s">
        <v>158</v>
      </c>
      <c r="C38" s="368" t="s">
        <v>273</v>
      </c>
      <c r="D38" s="368" t="s">
        <v>309</v>
      </c>
      <c r="E38" s="368" t="s">
        <v>114</v>
      </c>
      <c r="F38" s="368" t="s">
        <v>544</v>
      </c>
      <c r="G38" s="368" t="s">
        <v>275</v>
      </c>
      <c r="H38" s="368" t="s">
        <v>276</v>
      </c>
      <c r="I38" s="394">
        <v>3263</v>
      </c>
      <c r="J38" s="394">
        <v>10</v>
      </c>
      <c r="K38" s="395">
        <v>175.7</v>
      </c>
      <c r="L38" s="395">
        <v>172.35</v>
      </c>
      <c r="M38" s="396">
        <v>-1.9437191760951551E-2</v>
      </c>
      <c r="N38" s="368" t="s">
        <v>277</v>
      </c>
      <c r="O38" s="395">
        <v>149.08466441924608</v>
      </c>
      <c r="P38" s="394">
        <v>486463.26</v>
      </c>
      <c r="Q38" s="394">
        <v>486463.26</v>
      </c>
      <c r="R38" s="394">
        <v>562378.05000000005</v>
      </c>
      <c r="S38" s="394">
        <v>32630</v>
      </c>
      <c r="T38" s="394">
        <v>75914.789999999994</v>
      </c>
      <c r="U38" s="394">
        <v>-10931.05</v>
      </c>
      <c r="V38" s="396">
        <v>1.3599999999999999E-2</v>
      </c>
      <c r="W38" s="396">
        <v>1.3599999999999999E-2</v>
      </c>
      <c r="X38" s="394">
        <v>0</v>
      </c>
      <c r="Y38" s="394">
        <v>0</v>
      </c>
      <c r="Z38" s="405">
        <v>42766</v>
      </c>
      <c r="AA38" s="368" t="s">
        <v>278</v>
      </c>
      <c r="AB38" s="397"/>
      <c r="AC38" s="405"/>
      <c r="AD38" s="405"/>
      <c r="AE38" s="405"/>
      <c r="AF38" s="368"/>
      <c r="AG38" s="405"/>
      <c r="AH38" s="368" t="s">
        <v>79</v>
      </c>
      <c r="AI38" s="368" t="s">
        <v>279</v>
      </c>
      <c r="AJ38" s="368" t="s">
        <v>79</v>
      </c>
      <c r="AK38" s="368" t="s">
        <v>79</v>
      </c>
      <c r="AL38" s="368" t="s">
        <v>70</v>
      </c>
      <c r="AM38" s="368" t="s">
        <v>469</v>
      </c>
      <c r="AN38" s="368" t="s">
        <v>280</v>
      </c>
      <c r="AO38" s="402"/>
      <c r="AP38" s="402"/>
      <c r="AQ38" s="402"/>
    </row>
    <row r="39" spans="1:43" ht="12.95" customHeight="1">
      <c r="A39" s="402" t="str">
        <f t="shared" si="0"/>
        <v>QIFINE213A01029</v>
      </c>
      <c r="B39" s="368" t="s">
        <v>158</v>
      </c>
      <c r="C39" s="368" t="s">
        <v>273</v>
      </c>
      <c r="D39" s="368" t="s">
        <v>310</v>
      </c>
      <c r="E39" s="368" t="s">
        <v>105</v>
      </c>
      <c r="F39" s="368" t="s">
        <v>545</v>
      </c>
      <c r="G39" s="368" t="s">
        <v>275</v>
      </c>
      <c r="H39" s="368" t="s">
        <v>276</v>
      </c>
      <c r="I39" s="394">
        <v>3538</v>
      </c>
      <c r="J39" s="394">
        <v>5</v>
      </c>
      <c r="K39" s="395">
        <v>201.85</v>
      </c>
      <c r="L39" s="395">
        <v>202.55</v>
      </c>
      <c r="M39" s="396">
        <v>3.455936805726981E-3</v>
      </c>
      <c r="N39" s="368" t="s">
        <v>277</v>
      </c>
      <c r="O39" s="395">
        <v>213.16863199547768</v>
      </c>
      <c r="P39" s="394">
        <v>754190.62</v>
      </c>
      <c r="Q39" s="394">
        <v>754190.62</v>
      </c>
      <c r="R39" s="394">
        <v>716621.9</v>
      </c>
      <c r="S39" s="394">
        <v>17690</v>
      </c>
      <c r="T39" s="394">
        <v>-37568.720000000001</v>
      </c>
      <c r="U39" s="394">
        <v>2476.6</v>
      </c>
      <c r="V39" s="396">
        <v>1.7299999999999999E-2</v>
      </c>
      <c r="W39" s="396">
        <v>1.7299999999999999E-2</v>
      </c>
      <c r="X39" s="394">
        <v>0</v>
      </c>
      <c r="Y39" s="394">
        <v>0</v>
      </c>
      <c r="Z39" s="405">
        <v>42766</v>
      </c>
      <c r="AA39" s="368" t="s">
        <v>278</v>
      </c>
      <c r="AB39" s="397"/>
      <c r="AC39" s="405"/>
      <c r="AD39" s="405"/>
      <c r="AE39" s="405"/>
      <c r="AF39" s="368"/>
      <c r="AG39" s="405"/>
      <c r="AH39" s="368" t="s">
        <v>79</v>
      </c>
      <c r="AI39" s="368" t="s">
        <v>279</v>
      </c>
      <c r="AJ39" s="368" t="s">
        <v>79</v>
      </c>
      <c r="AK39" s="368" t="s">
        <v>79</v>
      </c>
      <c r="AL39" s="368" t="s">
        <v>66</v>
      </c>
      <c r="AM39" s="368" t="s">
        <v>470</v>
      </c>
      <c r="AN39" s="368" t="s">
        <v>280</v>
      </c>
      <c r="AO39" s="402"/>
      <c r="AP39" s="402"/>
      <c r="AQ39" s="402"/>
    </row>
    <row r="40" spans="1:43" ht="12.95" customHeight="1">
      <c r="A40" s="402" t="str">
        <f t="shared" si="0"/>
        <v>QIFINE752E01010</v>
      </c>
      <c r="B40" s="368" t="s">
        <v>158</v>
      </c>
      <c r="C40" s="368" t="s">
        <v>273</v>
      </c>
      <c r="D40" s="368" t="s">
        <v>311</v>
      </c>
      <c r="E40" s="368" t="s">
        <v>123</v>
      </c>
      <c r="F40" s="368" t="s">
        <v>546</v>
      </c>
      <c r="G40" s="368" t="s">
        <v>275</v>
      </c>
      <c r="H40" s="368" t="s">
        <v>276</v>
      </c>
      <c r="I40" s="394">
        <v>2885</v>
      </c>
      <c r="J40" s="394">
        <v>10</v>
      </c>
      <c r="K40" s="395">
        <v>205.7</v>
      </c>
      <c r="L40" s="395">
        <v>207.2</v>
      </c>
      <c r="M40" s="396">
        <v>7.2393822393822397E-3</v>
      </c>
      <c r="N40" s="368" t="s">
        <v>277</v>
      </c>
      <c r="O40" s="395">
        <v>127.17229809358753</v>
      </c>
      <c r="P40" s="394">
        <v>366892.08</v>
      </c>
      <c r="Q40" s="394">
        <v>366892.08</v>
      </c>
      <c r="R40" s="394">
        <v>597772</v>
      </c>
      <c r="S40" s="394">
        <v>28850</v>
      </c>
      <c r="T40" s="394">
        <v>230879.92</v>
      </c>
      <c r="U40" s="394">
        <v>4327.5</v>
      </c>
      <c r="V40" s="396">
        <v>1.44E-2</v>
      </c>
      <c r="W40" s="396">
        <v>1.44E-2</v>
      </c>
      <c r="X40" s="394">
        <v>0</v>
      </c>
      <c r="Y40" s="394">
        <v>0</v>
      </c>
      <c r="Z40" s="405">
        <v>42766</v>
      </c>
      <c r="AA40" s="368" t="s">
        <v>278</v>
      </c>
      <c r="AB40" s="397"/>
      <c r="AC40" s="405"/>
      <c r="AD40" s="405"/>
      <c r="AE40" s="405"/>
      <c r="AF40" s="368"/>
      <c r="AG40" s="405"/>
      <c r="AH40" s="368" t="s">
        <v>79</v>
      </c>
      <c r="AI40" s="368" t="s">
        <v>279</v>
      </c>
      <c r="AJ40" s="368" t="s">
        <v>79</v>
      </c>
      <c r="AK40" s="368" t="s">
        <v>79</v>
      </c>
      <c r="AL40" s="368" t="s">
        <v>70</v>
      </c>
      <c r="AM40" s="368" t="s">
        <v>471</v>
      </c>
      <c r="AN40" s="368" t="s">
        <v>280</v>
      </c>
      <c r="AO40" s="402"/>
      <c r="AP40" s="402"/>
      <c r="AQ40" s="402"/>
    </row>
    <row r="41" spans="1:43" ht="12.95" customHeight="1">
      <c r="A41" s="402" t="str">
        <f t="shared" si="0"/>
        <v>QIFINE002A01018</v>
      </c>
      <c r="B41" s="368" t="s">
        <v>158</v>
      </c>
      <c r="C41" s="368" t="s">
        <v>273</v>
      </c>
      <c r="D41" s="368" t="s">
        <v>312</v>
      </c>
      <c r="E41" s="368" t="s">
        <v>98</v>
      </c>
      <c r="F41" s="368" t="s">
        <v>547</v>
      </c>
      <c r="G41" s="368" t="s">
        <v>275</v>
      </c>
      <c r="H41" s="368" t="s">
        <v>276</v>
      </c>
      <c r="I41" s="394">
        <v>2173</v>
      </c>
      <c r="J41" s="394">
        <v>10</v>
      </c>
      <c r="K41" s="395">
        <v>1044.8</v>
      </c>
      <c r="L41" s="395">
        <v>1045.2</v>
      </c>
      <c r="M41" s="396">
        <v>3.8270187523918868E-4</v>
      </c>
      <c r="N41" s="368" t="s">
        <v>277</v>
      </c>
      <c r="O41" s="395">
        <v>1003.853129314312</v>
      </c>
      <c r="P41" s="394">
        <v>2181372.85</v>
      </c>
      <c r="Q41" s="394">
        <v>2181372.85</v>
      </c>
      <c r="R41" s="394">
        <v>2271219.6</v>
      </c>
      <c r="S41" s="394">
        <v>21730</v>
      </c>
      <c r="T41" s="394">
        <v>89846.75</v>
      </c>
      <c r="U41" s="394">
        <v>869.2</v>
      </c>
      <c r="V41" s="396">
        <v>5.4899999999999997E-2</v>
      </c>
      <c r="W41" s="396">
        <v>5.4899999999999997E-2</v>
      </c>
      <c r="X41" s="394">
        <v>0</v>
      </c>
      <c r="Y41" s="394">
        <v>0</v>
      </c>
      <c r="Z41" s="405">
        <v>42766</v>
      </c>
      <c r="AA41" s="368" t="s">
        <v>278</v>
      </c>
      <c r="AB41" s="397"/>
      <c r="AC41" s="405"/>
      <c r="AD41" s="405"/>
      <c r="AE41" s="405"/>
      <c r="AF41" s="368"/>
      <c r="AG41" s="405"/>
      <c r="AH41" s="368" t="s">
        <v>79</v>
      </c>
      <c r="AI41" s="368" t="s">
        <v>279</v>
      </c>
      <c r="AJ41" s="368" t="s">
        <v>79</v>
      </c>
      <c r="AK41" s="368" t="s">
        <v>79</v>
      </c>
      <c r="AL41" s="368" t="s">
        <v>74</v>
      </c>
      <c r="AM41" s="368" t="s">
        <v>472</v>
      </c>
      <c r="AN41" s="368" t="s">
        <v>280</v>
      </c>
      <c r="AO41" s="402"/>
      <c r="AP41" s="402"/>
      <c r="AQ41" s="402"/>
    </row>
    <row r="42" spans="1:43" ht="12.95" customHeight="1">
      <c r="A42" s="402" t="str">
        <f t="shared" si="0"/>
        <v>QIFINE062A01020</v>
      </c>
      <c r="B42" s="368" t="s">
        <v>158</v>
      </c>
      <c r="C42" s="368" t="s">
        <v>273</v>
      </c>
      <c r="D42" s="368" t="s">
        <v>313</v>
      </c>
      <c r="E42" s="368" t="s">
        <v>201</v>
      </c>
      <c r="F42" s="368" t="s">
        <v>210</v>
      </c>
      <c r="G42" s="368" t="s">
        <v>275</v>
      </c>
      <c r="H42" s="368" t="s">
        <v>276</v>
      </c>
      <c r="I42" s="394">
        <v>4077</v>
      </c>
      <c r="J42" s="394">
        <v>1</v>
      </c>
      <c r="K42" s="395">
        <v>263.95</v>
      </c>
      <c r="L42" s="395">
        <v>260.35000000000002</v>
      </c>
      <c r="M42" s="396">
        <v>-1.3827539850201652E-2</v>
      </c>
      <c r="N42" s="368" t="s">
        <v>277</v>
      </c>
      <c r="O42" s="395">
        <v>220.68117978906059</v>
      </c>
      <c r="P42" s="394">
        <v>899717.17</v>
      </c>
      <c r="Q42" s="394">
        <v>899717.17</v>
      </c>
      <c r="R42" s="394">
        <v>1061446.95</v>
      </c>
      <c r="S42" s="394">
        <v>4077</v>
      </c>
      <c r="T42" s="394">
        <v>161729.78</v>
      </c>
      <c r="U42" s="394">
        <v>-14677.2</v>
      </c>
      <c r="V42" s="396">
        <v>2.5600000000000001E-2</v>
      </c>
      <c r="W42" s="396">
        <v>2.5600000000000001E-2</v>
      </c>
      <c r="X42" s="394">
        <v>0</v>
      </c>
      <c r="Y42" s="394">
        <v>0</v>
      </c>
      <c r="Z42" s="405">
        <v>42766</v>
      </c>
      <c r="AA42" s="368" t="s">
        <v>278</v>
      </c>
      <c r="AB42" s="397"/>
      <c r="AC42" s="405"/>
      <c r="AD42" s="405"/>
      <c r="AE42" s="405"/>
      <c r="AF42" s="368"/>
      <c r="AG42" s="405"/>
      <c r="AH42" s="368" t="s">
        <v>79</v>
      </c>
      <c r="AI42" s="368" t="s">
        <v>279</v>
      </c>
      <c r="AJ42" s="368" t="s">
        <v>79</v>
      </c>
      <c r="AK42" s="368" t="s">
        <v>79</v>
      </c>
      <c r="AL42" s="368" t="s">
        <v>64</v>
      </c>
      <c r="AM42" s="368" t="s">
        <v>210</v>
      </c>
      <c r="AN42" s="368" t="s">
        <v>280</v>
      </c>
      <c r="AO42" s="402"/>
      <c r="AP42" s="402"/>
      <c r="AQ42" s="402"/>
    </row>
    <row r="43" spans="1:43" ht="12.95" customHeight="1">
      <c r="A43" s="402" t="str">
        <f t="shared" si="0"/>
        <v>QIFINE044A01036</v>
      </c>
      <c r="B43" s="368" t="s">
        <v>158</v>
      </c>
      <c r="C43" s="368" t="s">
        <v>273</v>
      </c>
      <c r="D43" s="368" t="s">
        <v>314</v>
      </c>
      <c r="E43" s="368" t="s">
        <v>110</v>
      </c>
      <c r="F43" s="368" t="s">
        <v>548</v>
      </c>
      <c r="G43" s="368" t="s">
        <v>275</v>
      </c>
      <c r="H43" s="368" t="s">
        <v>276</v>
      </c>
      <c r="I43" s="394">
        <v>1428</v>
      </c>
      <c r="J43" s="394">
        <v>1</v>
      </c>
      <c r="K43" s="395">
        <v>644.75</v>
      </c>
      <c r="L43" s="395">
        <v>631.5</v>
      </c>
      <c r="M43" s="396">
        <v>-2.0981789390340459E-2</v>
      </c>
      <c r="N43" s="368" t="s">
        <v>277</v>
      </c>
      <c r="O43" s="395">
        <v>651.58535014005599</v>
      </c>
      <c r="P43" s="394">
        <v>930463.88</v>
      </c>
      <c r="Q43" s="394">
        <v>930463.88</v>
      </c>
      <c r="R43" s="394">
        <v>901782</v>
      </c>
      <c r="S43" s="394">
        <v>1428</v>
      </c>
      <c r="T43" s="394">
        <v>-28681.88</v>
      </c>
      <c r="U43" s="394">
        <v>-18921</v>
      </c>
      <c r="V43" s="396">
        <v>2.18E-2</v>
      </c>
      <c r="W43" s="396">
        <v>2.18E-2</v>
      </c>
      <c r="X43" s="394">
        <v>0</v>
      </c>
      <c r="Y43" s="394">
        <v>0</v>
      </c>
      <c r="Z43" s="405">
        <v>42766</v>
      </c>
      <c r="AA43" s="368" t="s">
        <v>278</v>
      </c>
      <c r="AB43" s="397"/>
      <c r="AC43" s="405"/>
      <c r="AD43" s="405"/>
      <c r="AE43" s="405"/>
      <c r="AF43" s="368"/>
      <c r="AG43" s="405"/>
      <c r="AH43" s="368" t="s">
        <v>79</v>
      </c>
      <c r="AI43" s="368" t="s">
        <v>279</v>
      </c>
      <c r="AJ43" s="368" t="s">
        <v>79</v>
      </c>
      <c r="AK43" s="368" t="s">
        <v>79</v>
      </c>
      <c r="AL43" s="368" t="s">
        <v>75</v>
      </c>
      <c r="AM43" s="368" t="s">
        <v>473</v>
      </c>
      <c r="AN43" s="368" t="s">
        <v>280</v>
      </c>
      <c r="AO43" s="402"/>
      <c r="AP43" s="402"/>
      <c r="AQ43" s="402"/>
    </row>
    <row r="44" spans="1:43" ht="12.95" customHeight="1">
      <c r="A44" s="402" t="str">
        <f t="shared" si="0"/>
        <v>QIFINE467B01029</v>
      </c>
      <c r="B44" s="368" t="s">
        <v>158</v>
      </c>
      <c r="C44" s="368" t="s">
        <v>273</v>
      </c>
      <c r="D44" s="368" t="s">
        <v>315</v>
      </c>
      <c r="E44" s="368" t="s">
        <v>103</v>
      </c>
      <c r="F44" s="368" t="s">
        <v>549</v>
      </c>
      <c r="G44" s="368" t="s">
        <v>275</v>
      </c>
      <c r="H44" s="368" t="s">
        <v>276</v>
      </c>
      <c r="I44" s="394">
        <v>699</v>
      </c>
      <c r="J44" s="394">
        <v>1</v>
      </c>
      <c r="K44" s="395">
        <v>2332.9</v>
      </c>
      <c r="L44" s="395">
        <v>2229.8000000000002</v>
      </c>
      <c r="M44" s="396">
        <v>-4.6237330702305138E-2</v>
      </c>
      <c r="N44" s="368" t="s">
        <v>277</v>
      </c>
      <c r="O44" s="395">
        <v>1811.4598712446352</v>
      </c>
      <c r="P44" s="394">
        <v>1266210.45</v>
      </c>
      <c r="Q44" s="394">
        <v>1266210.45</v>
      </c>
      <c r="R44" s="394">
        <v>1558630.2</v>
      </c>
      <c r="S44" s="394">
        <v>699</v>
      </c>
      <c r="T44" s="394">
        <v>292419.75</v>
      </c>
      <c r="U44" s="394">
        <v>-72066.899999999994</v>
      </c>
      <c r="V44" s="396">
        <v>3.7600000000000001E-2</v>
      </c>
      <c r="W44" s="396">
        <v>3.7699999999999997E-2</v>
      </c>
      <c r="X44" s="394">
        <v>0</v>
      </c>
      <c r="Y44" s="394">
        <v>0</v>
      </c>
      <c r="Z44" s="405">
        <v>42766</v>
      </c>
      <c r="AA44" s="368" t="s">
        <v>278</v>
      </c>
      <c r="AB44" s="397"/>
      <c r="AC44" s="405"/>
      <c r="AD44" s="405"/>
      <c r="AE44" s="405"/>
      <c r="AF44" s="368"/>
      <c r="AG44" s="405"/>
      <c r="AH44" s="368" t="s">
        <v>79</v>
      </c>
      <c r="AI44" s="368" t="s">
        <v>279</v>
      </c>
      <c r="AJ44" s="368" t="s">
        <v>79</v>
      </c>
      <c r="AK44" s="368" t="s">
        <v>79</v>
      </c>
      <c r="AL44" s="368" t="s">
        <v>63</v>
      </c>
      <c r="AM44" s="368" t="s">
        <v>474</v>
      </c>
      <c r="AN44" s="368" t="s">
        <v>280</v>
      </c>
      <c r="AO44" s="402"/>
      <c r="AP44" s="402"/>
      <c r="AQ44" s="402"/>
    </row>
    <row r="45" spans="1:43" ht="12.95" customHeight="1">
      <c r="A45" s="402" t="str">
        <f t="shared" si="0"/>
        <v>QIFINE155A01022</v>
      </c>
      <c r="B45" s="368" t="s">
        <v>158</v>
      </c>
      <c r="C45" s="368" t="s">
        <v>273</v>
      </c>
      <c r="D45" s="368" t="s">
        <v>316</v>
      </c>
      <c r="E45" s="368" t="s">
        <v>106</v>
      </c>
      <c r="F45" s="368" t="s">
        <v>550</v>
      </c>
      <c r="G45" s="368" t="s">
        <v>275</v>
      </c>
      <c r="H45" s="368" t="s">
        <v>276</v>
      </c>
      <c r="I45" s="394">
        <v>2541</v>
      </c>
      <c r="J45" s="394">
        <v>2</v>
      </c>
      <c r="K45" s="395">
        <v>532.29999999999995</v>
      </c>
      <c r="L45" s="395">
        <v>523.54999999999995</v>
      </c>
      <c r="M45" s="396">
        <v>-1.6712825900105054E-2</v>
      </c>
      <c r="N45" s="368" t="s">
        <v>277</v>
      </c>
      <c r="O45" s="395">
        <v>350.1149232585596</v>
      </c>
      <c r="P45" s="394">
        <v>889642.02</v>
      </c>
      <c r="Q45" s="394">
        <v>889642.02</v>
      </c>
      <c r="R45" s="394">
        <v>1330340.55</v>
      </c>
      <c r="S45" s="394">
        <v>5082</v>
      </c>
      <c r="T45" s="394">
        <v>440698.53</v>
      </c>
      <c r="U45" s="394">
        <v>-22233.75</v>
      </c>
      <c r="V45" s="396">
        <v>3.2099999999999997E-2</v>
      </c>
      <c r="W45" s="396">
        <v>3.2099999999999997E-2</v>
      </c>
      <c r="X45" s="394">
        <v>0</v>
      </c>
      <c r="Y45" s="394">
        <v>0</v>
      </c>
      <c r="Z45" s="405">
        <v>42766</v>
      </c>
      <c r="AA45" s="368" t="s">
        <v>278</v>
      </c>
      <c r="AB45" s="397"/>
      <c r="AC45" s="405"/>
      <c r="AD45" s="405"/>
      <c r="AE45" s="405"/>
      <c r="AF45" s="368"/>
      <c r="AG45" s="405"/>
      <c r="AH45" s="368" t="s">
        <v>79</v>
      </c>
      <c r="AI45" s="368" t="s">
        <v>279</v>
      </c>
      <c r="AJ45" s="368" t="s">
        <v>79</v>
      </c>
      <c r="AK45" s="368" t="s">
        <v>79</v>
      </c>
      <c r="AL45" s="368" t="s">
        <v>62</v>
      </c>
      <c r="AM45" s="368" t="s">
        <v>475</v>
      </c>
      <c r="AN45" s="368" t="s">
        <v>280</v>
      </c>
      <c r="AO45" s="402"/>
      <c r="AP45" s="402"/>
      <c r="AQ45" s="402"/>
    </row>
    <row r="46" spans="1:43" ht="12.95" customHeight="1">
      <c r="A46" s="402" t="str">
        <f t="shared" si="0"/>
        <v>QIFIN9155A01020</v>
      </c>
      <c r="B46" s="368" t="s">
        <v>158</v>
      </c>
      <c r="C46" s="368" t="s">
        <v>273</v>
      </c>
      <c r="D46" s="368" t="s">
        <v>501</v>
      </c>
      <c r="E46" s="368" t="s">
        <v>502</v>
      </c>
      <c r="F46" s="368" t="s">
        <v>551</v>
      </c>
      <c r="G46" s="368" t="s">
        <v>275</v>
      </c>
      <c r="H46" s="368" t="s">
        <v>276</v>
      </c>
      <c r="I46" s="394">
        <v>657</v>
      </c>
      <c r="J46" s="394">
        <v>2</v>
      </c>
      <c r="K46" s="395">
        <v>336.6</v>
      </c>
      <c r="L46" s="395">
        <v>332.95</v>
      </c>
      <c r="M46" s="396">
        <v>-1.0962606998047755E-2</v>
      </c>
      <c r="N46" s="368" t="s">
        <v>277</v>
      </c>
      <c r="O46" s="395">
        <v>288.00818873668186</v>
      </c>
      <c r="P46" s="394">
        <v>189221.38</v>
      </c>
      <c r="Q46" s="394">
        <v>189221.38</v>
      </c>
      <c r="R46" s="394">
        <v>218748.15</v>
      </c>
      <c r="S46" s="394">
        <v>1314</v>
      </c>
      <c r="T46" s="394">
        <v>29526.77</v>
      </c>
      <c r="U46" s="394">
        <v>-2398.0500000000002</v>
      </c>
      <c r="V46" s="396">
        <v>5.3E-3</v>
      </c>
      <c r="W46" s="396">
        <v>5.3E-3</v>
      </c>
      <c r="X46" s="394">
        <v>0</v>
      </c>
      <c r="Y46" s="394">
        <v>0</v>
      </c>
      <c r="Z46" s="405">
        <v>42766</v>
      </c>
      <c r="AA46" s="368" t="s">
        <v>278</v>
      </c>
      <c r="AB46" s="397"/>
      <c r="AC46" s="405"/>
      <c r="AD46" s="405"/>
      <c r="AE46" s="405"/>
      <c r="AF46" s="368"/>
      <c r="AG46" s="405"/>
      <c r="AH46" s="368" t="s">
        <v>79</v>
      </c>
      <c r="AI46" s="368" t="s">
        <v>279</v>
      </c>
      <c r="AJ46" s="368" t="s">
        <v>79</v>
      </c>
      <c r="AK46" s="368" t="s">
        <v>79</v>
      </c>
      <c r="AL46" s="368" t="s">
        <v>62</v>
      </c>
      <c r="AM46" s="368" t="s">
        <v>475</v>
      </c>
      <c r="AN46" s="368" t="s">
        <v>280</v>
      </c>
      <c r="AO46" s="402"/>
      <c r="AP46" s="402"/>
      <c r="AQ46" s="402"/>
    </row>
    <row r="47" spans="1:43" ht="12.95" customHeight="1">
      <c r="A47" s="402" t="str">
        <f t="shared" si="0"/>
        <v>QIFINE669C01036</v>
      </c>
      <c r="B47" s="368" t="s">
        <v>158</v>
      </c>
      <c r="C47" s="368" t="s">
        <v>273</v>
      </c>
      <c r="D47" s="368" t="s">
        <v>317</v>
      </c>
      <c r="E47" s="368" t="s">
        <v>215</v>
      </c>
      <c r="F47" s="368" t="s">
        <v>552</v>
      </c>
      <c r="G47" s="368" t="s">
        <v>275</v>
      </c>
      <c r="H47" s="368" t="s">
        <v>276</v>
      </c>
      <c r="I47" s="394">
        <v>816</v>
      </c>
      <c r="J47" s="394">
        <v>5</v>
      </c>
      <c r="K47" s="395">
        <v>471.6</v>
      </c>
      <c r="L47" s="395">
        <v>452.2</v>
      </c>
      <c r="M47" s="396">
        <v>-4.2901371074745689E-2</v>
      </c>
      <c r="N47" s="368" t="s">
        <v>277</v>
      </c>
      <c r="O47" s="395">
        <v>487.13857843137254</v>
      </c>
      <c r="P47" s="394">
        <v>397505.08</v>
      </c>
      <c r="Q47" s="394">
        <v>397505.08</v>
      </c>
      <c r="R47" s="394">
        <v>368995.2</v>
      </c>
      <c r="S47" s="394">
        <v>4080</v>
      </c>
      <c r="T47" s="394">
        <v>-28509.88</v>
      </c>
      <c r="U47" s="394">
        <v>-15830.4</v>
      </c>
      <c r="V47" s="396">
        <v>8.8999999999999999E-3</v>
      </c>
      <c r="W47" s="396">
        <v>8.8999999999999999E-3</v>
      </c>
      <c r="X47" s="394">
        <v>0</v>
      </c>
      <c r="Y47" s="394">
        <v>0</v>
      </c>
      <c r="Z47" s="405">
        <v>42766</v>
      </c>
      <c r="AA47" s="368" t="s">
        <v>278</v>
      </c>
      <c r="AB47" s="397"/>
      <c r="AC47" s="405"/>
      <c r="AD47" s="405"/>
      <c r="AE47" s="405"/>
      <c r="AF47" s="368"/>
      <c r="AG47" s="405"/>
      <c r="AH47" s="368" t="s">
        <v>79</v>
      </c>
      <c r="AI47" s="368" t="s">
        <v>279</v>
      </c>
      <c r="AJ47" s="368" t="s">
        <v>79</v>
      </c>
      <c r="AK47" s="368" t="s">
        <v>79</v>
      </c>
      <c r="AL47" s="368" t="s">
        <v>63</v>
      </c>
      <c r="AM47" s="368" t="s">
        <v>476</v>
      </c>
      <c r="AN47" s="368" t="s">
        <v>280</v>
      </c>
      <c r="AO47" s="402"/>
      <c r="AP47" s="402"/>
      <c r="AQ47" s="402"/>
    </row>
    <row r="48" spans="1:43" ht="12.95" customHeight="1">
      <c r="A48" s="402" t="str">
        <f t="shared" si="0"/>
        <v>QIFINE081A01012</v>
      </c>
      <c r="B48" s="368" t="s">
        <v>158</v>
      </c>
      <c r="C48" s="368" t="s">
        <v>273</v>
      </c>
      <c r="D48" s="368" t="s">
        <v>318</v>
      </c>
      <c r="E48" s="368" t="s">
        <v>109</v>
      </c>
      <c r="F48" s="368" t="s">
        <v>553</v>
      </c>
      <c r="G48" s="368" t="s">
        <v>275</v>
      </c>
      <c r="H48" s="368" t="s">
        <v>276</v>
      </c>
      <c r="I48" s="394">
        <v>880</v>
      </c>
      <c r="J48" s="394">
        <v>10</v>
      </c>
      <c r="K48" s="395">
        <v>462.05</v>
      </c>
      <c r="L48" s="395">
        <v>463.05</v>
      </c>
      <c r="M48" s="396">
        <v>2.1595939963286901E-3</v>
      </c>
      <c r="N48" s="368" t="s">
        <v>277</v>
      </c>
      <c r="O48" s="395">
        <v>460.11649999999997</v>
      </c>
      <c r="P48" s="394">
        <v>404902.52</v>
      </c>
      <c r="Q48" s="394">
        <v>404902.52</v>
      </c>
      <c r="R48" s="394">
        <v>407484</v>
      </c>
      <c r="S48" s="394">
        <v>8800</v>
      </c>
      <c r="T48" s="394">
        <v>2581.48</v>
      </c>
      <c r="U48" s="394">
        <v>880</v>
      </c>
      <c r="V48" s="396">
        <v>9.7999999999999997E-3</v>
      </c>
      <c r="W48" s="396">
        <v>9.7999999999999997E-3</v>
      </c>
      <c r="X48" s="394">
        <v>0</v>
      </c>
      <c r="Y48" s="394">
        <v>0</v>
      </c>
      <c r="Z48" s="405">
        <v>42766</v>
      </c>
      <c r="AA48" s="368" t="s">
        <v>278</v>
      </c>
      <c r="AB48" s="397"/>
      <c r="AC48" s="405"/>
      <c r="AD48" s="405"/>
      <c r="AE48" s="405"/>
      <c r="AF48" s="368"/>
      <c r="AG48" s="405"/>
      <c r="AH48" s="368" t="s">
        <v>79</v>
      </c>
      <c r="AI48" s="368" t="s">
        <v>279</v>
      </c>
      <c r="AJ48" s="368" t="s">
        <v>79</v>
      </c>
      <c r="AK48" s="368" t="s">
        <v>79</v>
      </c>
      <c r="AL48" s="368" t="s">
        <v>72</v>
      </c>
      <c r="AM48" s="368" t="s">
        <v>477</v>
      </c>
      <c r="AN48" s="368" t="s">
        <v>280</v>
      </c>
      <c r="AO48" s="402"/>
      <c r="AP48" s="402"/>
      <c r="AQ48" s="402"/>
    </row>
    <row r="49" spans="1:43" ht="12.95" customHeight="1">
      <c r="A49" s="402" t="str">
        <f t="shared" si="0"/>
        <v>QIFINE245A01021</v>
      </c>
      <c r="B49" s="368" t="s">
        <v>158</v>
      </c>
      <c r="C49" s="368" t="s">
        <v>273</v>
      </c>
      <c r="D49" s="368" t="s">
        <v>319</v>
      </c>
      <c r="E49" s="368" t="s">
        <v>121</v>
      </c>
      <c r="F49" s="368" t="s">
        <v>577</v>
      </c>
      <c r="G49" s="368" t="s">
        <v>275</v>
      </c>
      <c r="H49" s="368" t="s">
        <v>276</v>
      </c>
      <c r="I49" s="394">
        <v>2381</v>
      </c>
      <c r="J49" s="394">
        <v>1</v>
      </c>
      <c r="K49" s="395">
        <v>80.55</v>
      </c>
      <c r="L49" s="395">
        <v>79.8</v>
      </c>
      <c r="M49" s="396">
        <v>-9.3984962406015032E-3</v>
      </c>
      <c r="N49" s="368" t="s">
        <v>277</v>
      </c>
      <c r="O49" s="395">
        <v>93.539966400671986</v>
      </c>
      <c r="P49" s="394">
        <v>222718.66</v>
      </c>
      <c r="Q49" s="394">
        <v>222718.66</v>
      </c>
      <c r="R49" s="394">
        <v>190003.8</v>
      </c>
      <c r="S49" s="394">
        <v>2381</v>
      </c>
      <c r="T49" s="394">
        <v>-32714.86</v>
      </c>
      <c r="U49" s="394">
        <v>-1785.75</v>
      </c>
      <c r="V49" s="396">
        <v>4.5999999999999999E-3</v>
      </c>
      <c r="W49" s="396">
        <v>4.5999999999999999E-3</v>
      </c>
      <c r="X49" s="394">
        <v>0</v>
      </c>
      <c r="Y49" s="394">
        <v>0</v>
      </c>
      <c r="Z49" s="405">
        <v>42766</v>
      </c>
      <c r="AA49" s="368" t="s">
        <v>278</v>
      </c>
      <c r="AB49" s="397"/>
      <c r="AC49" s="405"/>
      <c r="AD49" s="405"/>
      <c r="AE49" s="405"/>
      <c r="AF49" s="368"/>
      <c r="AG49" s="405"/>
      <c r="AH49" s="368" t="s">
        <v>79</v>
      </c>
      <c r="AI49" s="368" t="s">
        <v>279</v>
      </c>
      <c r="AJ49" s="368" t="s">
        <v>79</v>
      </c>
      <c r="AK49" s="368" t="s">
        <v>79</v>
      </c>
      <c r="AL49" s="368" t="s">
        <v>70</v>
      </c>
      <c r="AM49" s="368" t="s">
        <v>478</v>
      </c>
      <c r="AN49" s="368" t="s">
        <v>280</v>
      </c>
      <c r="AO49" s="402"/>
      <c r="AP49" s="402"/>
      <c r="AQ49" s="402"/>
    </row>
    <row r="50" spans="1:43" ht="12.95" customHeight="1">
      <c r="A50" s="402" t="str">
        <f t="shared" si="0"/>
        <v>QIFINE481G01011</v>
      </c>
      <c r="B50" s="368" t="s">
        <v>158</v>
      </c>
      <c r="C50" s="368" t="s">
        <v>273</v>
      </c>
      <c r="D50" s="368" t="s">
        <v>320</v>
      </c>
      <c r="E50" s="368" t="s">
        <v>118</v>
      </c>
      <c r="F50" s="368" t="s">
        <v>554</v>
      </c>
      <c r="G50" s="368" t="s">
        <v>275</v>
      </c>
      <c r="H50" s="368" t="s">
        <v>276</v>
      </c>
      <c r="I50" s="394">
        <v>137</v>
      </c>
      <c r="J50" s="394">
        <v>10</v>
      </c>
      <c r="K50" s="395">
        <v>3693.9</v>
      </c>
      <c r="L50" s="395">
        <v>3694.45</v>
      </c>
      <c r="M50" s="396">
        <v>1.4887195658352395E-4</v>
      </c>
      <c r="N50" s="368" t="s">
        <v>277</v>
      </c>
      <c r="O50" s="395">
        <v>2636.1032846715329</v>
      </c>
      <c r="P50" s="394">
        <v>361146.15</v>
      </c>
      <c r="Q50" s="394">
        <v>361146.15</v>
      </c>
      <c r="R50" s="394">
        <v>506139.65</v>
      </c>
      <c r="S50" s="394">
        <v>1370</v>
      </c>
      <c r="T50" s="394">
        <v>144993.5</v>
      </c>
      <c r="U50" s="394">
        <v>75.349999999999994</v>
      </c>
      <c r="V50" s="396">
        <v>1.2200000000000001E-2</v>
      </c>
      <c r="W50" s="396">
        <v>1.2200000000000001E-2</v>
      </c>
      <c r="X50" s="394">
        <v>0</v>
      </c>
      <c r="Y50" s="394">
        <v>0</v>
      </c>
      <c r="Z50" s="405">
        <v>42766</v>
      </c>
      <c r="AA50" s="368" t="s">
        <v>278</v>
      </c>
      <c r="AB50" s="397"/>
      <c r="AC50" s="405"/>
      <c r="AD50" s="405"/>
      <c r="AE50" s="405"/>
      <c r="AF50" s="368"/>
      <c r="AG50" s="405"/>
      <c r="AH50" s="368" t="s">
        <v>79</v>
      </c>
      <c r="AI50" s="368" t="s">
        <v>279</v>
      </c>
      <c r="AJ50" s="368" t="s">
        <v>79</v>
      </c>
      <c r="AK50" s="368" t="s">
        <v>79</v>
      </c>
      <c r="AL50" s="368" t="s">
        <v>69</v>
      </c>
      <c r="AM50" s="368" t="s">
        <v>479</v>
      </c>
      <c r="AN50" s="368" t="s">
        <v>280</v>
      </c>
      <c r="AO50" s="402"/>
      <c r="AP50" s="402"/>
      <c r="AQ50" s="402"/>
    </row>
    <row r="51" spans="1:43" ht="12.95" customHeight="1">
      <c r="A51" s="402" t="str">
        <f t="shared" si="0"/>
        <v>QIFINE238A01034</v>
      </c>
      <c r="B51" s="368" t="s">
        <v>158</v>
      </c>
      <c r="C51" s="368" t="s">
        <v>273</v>
      </c>
      <c r="D51" s="368" t="s">
        <v>321</v>
      </c>
      <c r="E51" s="368" t="s">
        <v>184</v>
      </c>
      <c r="F51" s="368" t="s">
        <v>555</v>
      </c>
      <c r="G51" s="368" t="s">
        <v>275</v>
      </c>
      <c r="H51" s="368" t="s">
        <v>276</v>
      </c>
      <c r="I51" s="394">
        <v>2230</v>
      </c>
      <c r="J51" s="394">
        <v>2</v>
      </c>
      <c r="K51" s="395">
        <v>471.9</v>
      </c>
      <c r="L51" s="395">
        <v>466</v>
      </c>
      <c r="M51" s="396">
        <v>-1.2660944206008584E-2</v>
      </c>
      <c r="N51" s="368" t="s">
        <v>277</v>
      </c>
      <c r="O51" s="395">
        <v>353.86690582959642</v>
      </c>
      <c r="P51" s="394">
        <v>789123.2</v>
      </c>
      <c r="Q51" s="394">
        <v>789123.2</v>
      </c>
      <c r="R51" s="394">
        <v>1039180</v>
      </c>
      <c r="S51" s="394">
        <v>4460</v>
      </c>
      <c r="T51" s="394">
        <v>250056.8</v>
      </c>
      <c r="U51" s="394">
        <v>-13157</v>
      </c>
      <c r="V51" s="396">
        <v>2.5100000000000001E-2</v>
      </c>
      <c r="W51" s="396">
        <v>2.5100000000000001E-2</v>
      </c>
      <c r="X51" s="394">
        <v>0</v>
      </c>
      <c r="Y51" s="394">
        <v>0</v>
      </c>
      <c r="Z51" s="405">
        <v>42766</v>
      </c>
      <c r="AA51" s="368" t="s">
        <v>278</v>
      </c>
      <c r="AB51" s="397"/>
      <c r="AC51" s="405"/>
      <c r="AD51" s="405"/>
      <c r="AE51" s="405"/>
      <c r="AF51" s="368"/>
      <c r="AG51" s="405"/>
      <c r="AH51" s="368" t="s">
        <v>79</v>
      </c>
      <c r="AI51" s="368" t="s">
        <v>279</v>
      </c>
      <c r="AJ51" s="368" t="s">
        <v>79</v>
      </c>
      <c r="AK51" s="368" t="s">
        <v>79</v>
      </c>
      <c r="AL51" s="368" t="s">
        <v>64</v>
      </c>
      <c r="AM51" s="368" t="s">
        <v>480</v>
      </c>
      <c r="AN51" s="368" t="s">
        <v>280</v>
      </c>
      <c r="AO51" s="402"/>
      <c r="AP51" s="402"/>
      <c r="AQ51" s="402"/>
    </row>
    <row r="52" spans="1:43" ht="12.95" customHeight="1">
      <c r="A52" s="402" t="str">
        <f t="shared" si="0"/>
        <v>QIFINE075A01022</v>
      </c>
      <c r="B52" s="368" t="s">
        <v>158</v>
      </c>
      <c r="C52" s="368" t="s">
        <v>273</v>
      </c>
      <c r="D52" s="368" t="s">
        <v>322</v>
      </c>
      <c r="E52" s="368" t="s">
        <v>173</v>
      </c>
      <c r="F52" s="368" t="s">
        <v>556</v>
      </c>
      <c r="G52" s="368" t="s">
        <v>275</v>
      </c>
      <c r="H52" s="368" t="s">
        <v>276</v>
      </c>
      <c r="I52" s="394">
        <v>843</v>
      </c>
      <c r="J52" s="394">
        <v>2</v>
      </c>
      <c r="K52" s="395">
        <v>465.75</v>
      </c>
      <c r="L52" s="395">
        <v>458</v>
      </c>
      <c r="M52" s="396">
        <v>-1.6921397379912665E-2</v>
      </c>
      <c r="N52" s="368" t="s">
        <v>277</v>
      </c>
      <c r="O52" s="395">
        <v>512.36836298932383</v>
      </c>
      <c r="P52" s="394">
        <v>431926.53</v>
      </c>
      <c r="Q52" s="394">
        <v>431926.53</v>
      </c>
      <c r="R52" s="394">
        <v>386094</v>
      </c>
      <c r="S52" s="394">
        <v>1686</v>
      </c>
      <c r="T52" s="394">
        <v>-45832.53</v>
      </c>
      <c r="U52" s="394">
        <v>-6533.25</v>
      </c>
      <c r="V52" s="396">
        <v>9.2999999999999992E-3</v>
      </c>
      <c r="W52" s="396">
        <v>9.2999999999999992E-3</v>
      </c>
      <c r="X52" s="394">
        <v>0</v>
      </c>
      <c r="Y52" s="394">
        <v>0</v>
      </c>
      <c r="Z52" s="405">
        <v>42766</v>
      </c>
      <c r="AA52" s="368" t="s">
        <v>278</v>
      </c>
      <c r="AB52" s="397"/>
      <c r="AC52" s="405"/>
      <c r="AD52" s="405"/>
      <c r="AE52" s="405"/>
      <c r="AF52" s="368"/>
      <c r="AG52" s="405"/>
      <c r="AH52" s="368" t="s">
        <v>79</v>
      </c>
      <c r="AI52" s="368" t="s">
        <v>279</v>
      </c>
      <c r="AJ52" s="368" t="s">
        <v>79</v>
      </c>
      <c r="AK52" s="368" t="s">
        <v>79</v>
      </c>
      <c r="AL52" s="368" t="s">
        <v>63</v>
      </c>
      <c r="AM52" s="368" t="s">
        <v>481</v>
      </c>
      <c r="AN52" s="368" t="s">
        <v>280</v>
      </c>
      <c r="AO52" s="402"/>
      <c r="AP52" s="402"/>
      <c r="AQ52" s="402"/>
    </row>
    <row r="53" spans="1:43" ht="12.95" customHeight="1">
      <c r="A53" s="402" t="str">
        <f t="shared" si="0"/>
        <v>QIFINE528G01019</v>
      </c>
      <c r="B53" s="368" t="s">
        <v>158</v>
      </c>
      <c r="C53" s="368" t="s">
        <v>273</v>
      </c>
      <c r="D53" s="368" t="s">
        <v>323</v>
      </c>
      <c r="E53" s="368" t="s">
        <v>216</v>
      </c>
      <c r="F53" s="368" t="s">
        <v>557</v>
      </c>
      <c r="G53" s="368" t="s">
        <v>275</v>
      </c>
      <c r="H53" s="368" t="s">
        <v>276</v>
      </c>
      <c r="I53" s="394">
        <v>433</v>
      </c>
      <c r="J53" s="394">
        <v>10</v>
      </c>
      <c r="K53" s="395">
        <v>1389</v>
      </c>
      <c r="L53" s="395">
        <v>1396</v>
      </c>
      <c r="M53" s="396">
        <v>5.0143266475644703E-3</v>
      </c>
      <c r="N53" s="368" t="s">
        <v>277</v>
      </c>
      <c r="O53" s="395">
        <v>837.03184757505778</v>
      </c>
      <c r="P53" s="394">
        <v>362434.79</v>
      </c>
      <c r="Q53" s="394">
        <v>362434.79</v>
      </c>
      <c r="R53" s="394">
        <v>604468</v>
      </c>
      <c r="S53" s="394">
        <v>4330</v>
      </c>
      <c r="T53" s="394">
        <v>242033.21</v>
      </c>
      <c r="U53" s="394">
        <v>3031</v>
      </c>
      <c r="V53" s="396">
        <v>1.46E-2</v>
      </c>
      <c r="W53" s="396">
        <v>1.46E-2</v>
      </c>
      <c r="X53" s="394">
        <v>0</v>
      </c>
      <c r="Y53" s="394">
        <v>0</v>
      </c>
      <c r="Z53" s="405">
        <v>42766</v>
      </c>
      <c r="AA53" s="368" t="s">
        <v>278</v>
      </c>
      <c r="AB53" s="397"/>
      <c r="AC53" s="405"/>
      <c r="AD53" s="405"/>
      <c r="AE53" s="405"/>
      <c r="AF53" s="368"/>
      <c r="AG53" s="405"/>
      <c r="AH53" s="368" t="s">
        <v>79</v>
      </c>
      <c r="AI53" s="368" t="s">
        <v>279</v>
      </c>
      <c r="AJ53" s="368" t="s">
        <v>79</v>
      </c>
      <c r="AK53" s="368" t="s">
        <v>79</v>
      </c>
      <c r="AL53" s="368" t="s">
        <v>64</v>
      </c>
      <c r="AM53" s="368" t="s">
        <v>482</v>
      </c>
      <c r="AN53" s="368" t="s">
        <v>280</v>
      </c>
      <c r="AO53" s="402"/>
      <c r="AP53" s="402"/>
      <c r="AQ53" s="402"/>
    </row>
    <row r="54" spans="1:43" ht="12.95" customHeight="1">
      <c r="A54" s="402" t="str">
        <f t="shared" si="0"/>
        <v>QIFINE256A01028</v>
      </c>
      <c r="B54" s="368" t="s">
        <v>158</v>
      </c>
      <c r="C54" s="368" t="s">
        <v>273</v>
      </c>
      <c r="D54" s="368" t="s">
        <v>324</v>
      </c>
      <c r="E54" s="368" t="s">
        <v>196</v>
      </c>
      <c r="F54" s="368" t="s">
        <v>558</v>
      </c>
      <c r="G54" s="368" t="s">
        <v>275</v>
      </c>
      <c r="H54" s="368" t="s">
        <v>276</v>
      </c>
      <c r="I54" s="394">
        <v>719</v>
      </c>
      <c r="J54" s="394">
        <v>1</v>
      </c>
      <c r="K54" s="395">
        <v>496.35</v>
      </c>
      <c r="L54" s="395">
        <v>489.15</v>
      </c>
      <c r="M54" s="396">
        <v>-1.4719411223551058E-2</v>
      </c>
      <c r="N54" s="368" t="s">
        <v>277</v>
      </c>
      <c r="O54" s="395">
        <v>339.19500695410289</v>
      </c>
      <c r="P54" s="394">
        <v>243881.21</v>
      </c>
      <c r="Q54" s="394">
        <v>243881.21</v>
      </c>
      <c r="R54" s="394">
        <v>351698.85</v>
      </c>
      <c r="S54" s="394">
        <v>719</v>
      </c>
      <c r="T54" s="394">
        <v>107817.64</v>
      </c>
      <c r="U54" s="394">
        <v>-5176.8</v>
      </c>
      <c r="V54" s="396">
        <v>8.5000000000000006E-3</v>
      </c>
      <c r="W54" s="396">
        <v>8.5000000000000006E-3</v>
      </c>
      <c r="X54" s="394">
        <v>0</v>
      </c>
      <c r="Y54" s="394">
        <v>0</v>
      </c>
      <c r="Z54" s="405">
        <v>42766</v>
      </c>
      <c r="AA54" s="368" t="s">
        <v>278</v>
      </c>
      <c r="AB54" s="397"/>
      <c r="AC54" s="405"/>
      <c r="AD54" s="405"/>
      <c r="AE54" s="405"/>
      <c r="AF54" s="368"/>
      <c r="AG54" s="405"/>
      <c r="AH54" s="368" t="s">
        <v>79</v>
      </c>
      <c r="AI54" s="368" t="s">
        <v>279</v>
      </c>
      <c r="AJ54" s="368" t="s">
        <v>79</v>
      </c>
      <c r="AK54" s="368" t="s">
        <v>79</v>
      </c>
      <c r="AL54" s="368" t="s">
        <v>197</v>
      </c>
      <c r="AM54" s="368" t="s">
        <v>483</v>
      </c>
      <c r="AN54" s="368" t="s">
        <v>280</v>
      </c>
      <c r="AO54" s="402"/>
      <c r="AP54" s="402"/>
      <c r="AQ54" s="402"/>
    </row>
    <row r="55" spans="1:43" ht="12.95" customHeight="1">
      <c r="A55" s="402" t="str">
        <f t="shared" si="0"/>
        <v>QIF</v>
      </c>
      <c r="B55" s="368" t="s">
        <v>158</v>
      </c>
      <c r="C55" s="368" t="s">
        <v>273</v>
      </c>
      <c r="D55" s="273"/>
      <c r="E55" s="273"/>
      <c r="F55" s="273"/>
      <c r="G55" s="401" t="s">
        <v>325</v>
      </c>
      <c r="H55" s="273"/>
      <c r="I55" s="273"/>
      <c r="J55" s="273"/>
      <c r="K55" s="273"/>
      <c r="L55" s="273"/>
      <c r="M55" s="273"/>
      <c r="N55" s="273"/>
      <c r="O55" s="273"/>
      <c r="P55" s="274">
        <v>32741773.07</v>
      </c>
      <c r="Q55" s="370">
        <v>32741773.07</v>
      </c>
      <c r="R55" s="370">
        <v>41396987.75</v>
      </c>
      <c r="S55" s="273"/>
      <c r="T55" s="370">
        <v>8655214.6799999997</v>
      </c>
      <c r="U55" s="370">
        <v>-345866.05</v>
      </c>
      <c r="V55" s="371">
        <v>0.99990000000000001</v>
      </c>
      <c r="W55" s="371">
        <v>1</v>
      </c>
      <c r="X55" s="370">
        <v>0</v>
      </c>
      <c r="Y55" s="370">
        <v>0</v>
      </c>
      <c r="Z55" s="273"/>
      <c r="AA55" s="273"/>
      <c r="AB55" s="273"/>
      <c r="AC55" s="273"/>
      <c r="AD55" s="273"/>
      <c r="AE55" s="273"/>
      <c r="AF55" s="273"/>
      <c r="AG55" s="273"/>
      <c r="AH55" s="273"/>
      <c r="AI55" s="273"/>
      <c r="AJ55" s="273"/>
      <c r="AK55" s="273"/>
      <c r="AL55" s="273"/>
      <c r="AM55" s="273"/>
      <c r="AN55" s="273"/>
      <c r="AO55" s="402"/>
      <c r="AP55" s="402"/>
      <c r="AQ55" s="402"/>
    </row>
    <row r="56" spans="1:43" ht="12.95" customHeight="1">
      <c r="A56" s="402" t="str">
        <f t="shared" si="0"/>
        <v>QIFCash &amp; Cash Equivalent:</v>
      </c>
      <c r="B56" s="368" t="s">
        <v>158</v>
      </c>
      <c r="C56" s="368" t="s">
        <v>273</v>
      </c>
      <c r="D56" s="401" t="s">
        <v>326</v>
      </c>
      <c r="E56" s="401" t="s">
        <v>326</v>
      </c>
      <c r="F56" s="401" t="s">
        <v>326</v>
      </c>
      <c r="G56" s="273"/>
      <c r="H56" s="273"/>
      <c r="I56" s="273"/>
      <c r="J56" s="273"/>
      <c r="K56" s="273"/>
      <c r="L56" s="273"/>
      <c r="M56" s="273"/>
      <c r="N56" s="273"/>
      <c r="O56" s="273"/>
      <c r="P56" s="273"/>
      <c r="Q56" s="273"/>
      <c r="R56" s="370">
        <v>4085.5444918570001</v>
      </c>
      <c r="S56" s="273"/>
      <c r="T56" s="273"/>
      <c r="U56" s="273"/>
      <c r="V56" s="371">
        <v>1E-4</v>
      </c>
      <c r="W56" s="273"/>
      <c r="X56" s="273"/>
      <c r="Y56" s="273"/>
      <c r="Z56" s="273"/>
      <c r="AA56" s="273"/>
      <c r="AB56" s="273"/>
      <c r="AC56" s="273"/>
      <c r="AD56" s="273"/>
      <c r="AE56" s="273"/>
      <c r="AF56" s="273"/>
      <c r="AG56" s="273"/>
      <c r="AH56" s="273"/>
      <c r="AI56" s="273"/>
      <c r="AJ56" s="273"/>
      <c r="AK56" s="273"/>
      <c r="AL56" s="273"/>
      <c r="AM56" s="273"/>
      <c r="AN56" s="273"/>
      <c r="AO56" s="402"/>
      <c r="AP56" s="402"/>
      <c r="AQ56" s="402"/>
    </row>
    <row r="57" spans="1:43" ht="12.95" customHeight="1">
      <c r="A57" s="402" t="str">
        <f t="shared" si="0"/>
        <v>QIFNet Asset:</v>
      </c>
      <c r="B57" s="368" t="s">
        <v>158</v>
      </c>
      <c r="C57" s="368" t="s">
        <v>273</v>
      </c>
      <c r="D57" s="401" t="s">
        <v>327</v>
      </c>
      <c r="E57" s="401" t="s">
        <v>327</v>
      </c>
      <c r="F57" s="401" t="s">
        <v>327</v>
      </c>
      <c r="G57" s="273"/>
      <c r="H57" s="273"/>
      <c r="I57" s="273"/>
      <c r="J57" s="273"/>
      <c r="K57" s="273"/>
      <c r="L57" s="273"/>
      <c r="M57" s="273"/>
      <c r="N57" s="273"/>
      <c r="O57" s="273"/>
      <c r="P57" s="273"/>
      <c r="Q57" s="273"/>
      <c r="R57" s="370">
        <v>41401073.294491857</v>
      </c>
      <c r="S57" s="273"/>
      <c r="T57" s="273"/>
      <c r="U57" s="273"/>
      <c r="V57" s="371">
        <v>1</v>
      </c>
      <c r="W57" s="273"/>
      <c r="X57" s="273"/>
      <c r="Y57" s="273"/>
      <c r="Z57" s="273"/>
      <c r="AA57" s="273"/>
      <c r="AB57" s="273"/>
      <c r="AC57" s="273"/>
      <c r="AD57" s="273"/>
      <c r="AE57" s="273"/>
      <c r="AF57" s="273"/>
      <c r="AG57" s="273"/>
      <c r="AH57" s="273"/>
      <c r="AI57" s="273"/>
      <c r="AJ57" s="273"/>
      <c r="AK57" s="273"/>
      <c r="AL57" s="273"/>
      <c r="AM57" s="273"/>
      <c r="AN57" s="273"/>
      <c r="AO57" s="402"/>
      <c r="AP57" s="402"/>
      <c r="AQ57" s="402"/>
    </row>
    <row r="58" spans="1:43" ht="12.95" customHeight="1">
      <c r="A58" s="402" t="str">
        <f t="shared" si="0"/>
        <v/>
      </c>
      <c r="B58" s="275" t="s">
        <v>79</v>
      </c>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402"/>
      <c r="AP58" s="402"/>
      <c r="AQ58" s="402"/>
    </row>
    <row r="59" spans="1:43" ht="12.95" customHeight="1">
      <c r="A59" s="402" t="str">
        <f t="shared" si="0"/>
        <v>QLTEFCBL_010217</v>
      </c>
      <c r="B59" s="368" t="s">
        <v>153</v>
      </c>
      <c r="C59" s="368" t="s">
        <v>328</v>
      </c>
      <c r="D59" s="368" t="s">
        <v>607</v>
      </c>
      <c r="E59" s="368" t="s">
        <v>607</v>
      </c>
      <c r="F59" s="368" t="s">
        <v>607</v>
      </c>
      <c r="G59" s="368" t="s">
        <v>329</v>
      </c>
      <c r="H59" s="368" t="s">
        <v>329</v>
      </c>
      <c r="I59" s="394">
        <v>7953168.4549000002</v>
      </c>
      <c r="J59" s="394">
        <v>100</v>
      </c>
      <c r="K59" s="395">
        <v>0</v>
      </c>
      <c r="L59" s="395">
        <v>100</v>
      </c>
      <c r="M59" s="396">
        <v>1</v>
      </c>
      <c r="N59" s="368" t="s">
        <v>277</v>
      </c>
      <c r="O59" s="395">
        <v>99.98315645258117</v>
      </c>
      <c r="P59" s="394">
        <v>795182885.91999996</v>
      </c>
      <c r="Q59" s="394">
        <v>795316845.49000001</v>
      </c>
      <c r="R59" s="394">
        <v>795316845.49000001</v>
      </c>
      <c r="S59" s="394">
        <v>795316845.49000001</v>
      </c>
      <c r="T59" s="394">
        <v>0</v>
      </c>
      <c r="U59" s="394">
        <v>0</v>
      </c>
      <c r="V59" s="396">
        <v>0.11840000000000001</v>
      </c>
      <c r="W59" s="396">
        <v>0.1181</v>
      </c>
      <c r="X59" s="394">
        <v>0</v>
      </c>
      <c r="Y59" s="394">
        <v>133959.57</v>
      </c>
      <c r="Z59" s="405">
        <v>42766</v>
      </c>
      <c r="AA59" s="368" t="s">
        <v>278</v>
      </c>
      <c r="AB59" s="397"/>
      <c r="AC59" s="405"/>
      <c r="AD59" s="405">
        <v>42767</v>
      </c>
      <c r="AE59" s="405">
        <v>42767</v>
      </c>
      <c r="AF59" s="368">
        <v>1</v>
      </c>
      <c r="AG59" s="405">
        <v>42767</v>
      </c>
      <c r="AH59" s="368" t="s">
        <v>330</v>
      </c>
      <c r="AI59" s="368" t="s">
        <v>331</v>
      </c>
      <c r="AJ59" s="368" t="s">
        <v>79</v>
      </c>
      <c r="AK59" s="368" t="s">
        <v>79</v>
      </c>
      <c r="AL59" s="368" t="s">
        <v>510</v>
      </c>
      <c r="AM59" s="368" t="s">
        <v>332</v>
      </c>
      <c r="AN59" s="368" t="s">
        <v>280</v>
      </c>
      <c r="AO59" s="402"/>
      <c r="AP59" s="402"/>
      <c r="AQ59" s="402"/>
    </row>
    <row r="60" spans="1:43" ht="12.95" customHeight="1">
      <c r="A60" s="402" t="str">
        <f t="shared" si="0"/>
        <v>QLTEF</v>
      </c>
      <c r="B60" s="368" t="s">
        <v>153</v>
      </c>
      <c r="C60" s="368" t="s">
        <v>328</v>
      </c>
      <c r="D60" s="273"/>
      <c r="E60" s="273"/>
      <c r="F60" s="273"/>
      <c r="G60" s="401" t="s">
        <v>333</v>
      </c>
      <c r="H60" s="273"/>
      <c r="I60" s="273"/>
      <c r="J60" s="273"/>
      <c r="K60" s="273"/>
      <c r="L60" s="273"/>
      <c r="M60" s="273"/>
      <c r="N60" s="273"/>
      <c r="O60" s="273"/>
      <c r="P60" s="274">
        <v>795182885.91999996</v>
      </c>
      <c r="Q60" s="370">
        <v>795316845.49000001</v>
      </c>
      <c r="R60" s="370">
        <v>795316845.49000001</v>
      </c>
      <c r="S60" s="273"/>
      <c r="T60" s="370">
        <v>0</v>
      </c>
      <c r="U60" s="370">
        <v>0</v>
      </c>
      <c r="V60" s="371">
        <v>0.11840000000000001</v>
      </c>
      <c r="W60" s="371">
        <v>0.1181</v>
      </c>
      <c r="X60" s="370">
        <v>0</v>
      </c>
      <c r="Y60" s="370">
        <v>133959.57</v>
      </c>
      <c r="Z60" s="273"/>
      <c r="AA60" s="273"/>
      <c r="AB60" s="273"/>
      <c r="AC60" s="273"/>
      <c r="AD60" s="273"/>
      <c r="AE60" s="273"/>
      <c r="AF60" s="273"/>
      <c r="AG60" s="273"/>
      <c r="AH60" s="273"/>
      <c r="AI60" s="273"/>
      <c r="AJ60" s="273"/>
      <c r="AK60" s="273"/>
      <c r="AL60" s="273"/>
      <c r="AM60" s="273"/>
      <c r="AN60" s="273"/>
      <c r="AO60" s="402"/>
      <c r="AP60" s="402"/>
      <c r="AQ60" s="402"/>
    </row>
    <row r="61" spans="1:43" ht="12.95" customHeight="1">
      <c r="A61" s="402" t="str">
        <f t="shared" si="0"/>
        <v>QLTEFINE917I01010</v>
      </c>
      <c r="B61" s="368" t="s">
        <v>153</v>
      </c>
      <c r="C61" s="368" t="s">
        <v>328</v>
      </c>
      <c r="D61" s="368" t="s">
        <v>282</v>
      </c>
      <c r="E61" s="368" t="s">
        <v>111</v>
      </c>
      <c r="F61" s="368" t="s">
        <v>514</v>
      </c>
      <c r="G61" s="368" t="s">
        <v>275</v>
      </c>
      <c r="H61" s="368" t="s">
        <v>276</v>
      </c>
      <c r="I61" s="394">
        <v>174210</v>
      </c>
      <c r="J61" s="394">
        <v>10</v>
      </c>
      <c r="K61" s="395">
        <v>2825.05</v>
      </c>
      <c r="L61" s="395">
        <v>2833.45</v>
      </c>
      <c r="M61" s="396">
        <v>2.9645838112548305E-3</v>
      </c>
      <c r="N61" s="368" t="s">
        <v>277</v>
      </c>
      <c r="O61" s="395">
        <v>1981.9514468170598</v>
      </c>
      <c r="P61" s="394">
        <v>345275761.55000001</v>
      </c>
      <c r="Q61" s="394">
        <v>345275761.55000001</v>
      </c>
      <c r="R61" s="394">
        <v>493615324.5</v>
      </c>
      <c r="S61" s="394">
        <v>1742100</v>
      </c>
      <c r="T61" s="394">
        <v>148339562.94999999</v>
      </c>
      <c r="U61" s="394">
        <v>1463364</v>
      </c>
      <c r="V61" s="396">
        <v>7.3499999999999996E-2</v>
      </c>
      <c r="W61" s="396">
        <v>7.3300000000000004E-2</v>
      </c>
      <c r="X61" s="394">
        <v>0</v>
      </c>
      <c r="Y61" s="394">
        <v>0</v>
      </c>
      <c r="Z61" s="405">
        <v>42766</v>
      </c>
      <c r="AA61" s="368" t="s">
        <v>278</v>
      </c>
      <c r="AB61" s="397"/>
      <c r="AC61" s="405"/>
      <c r="AD61" s="405"/>
      <c r="AE61" s="405"/>
      <c r="AF61" s="368"/>
      <c r="AG61" s="405"/>
      <c r="AH61" s="368" t="s">
        <v>79</v>
      </c>
      <c r="AI61" s="368" t="s">
        <v>279</v>
      </c>
      <c r="AJ61" s="368" t="s">
        <v>79</v>
      </c>
      <c r="AK61" s="368" t="s">
        <v>79</v>
      </c>
      <c r="AL61" s="368" t="s">
        <v>62</v>
      </c>
      <c r="AM61" s="368" t="s">
        <v>441</v>
      </c>
      <c r="AN61" s="368" t="s">
        <v>280</v>
      </c>
      <c r="AO61" s="402"/>
      <c r="AP61" s="402"/>
      <c r="AQ61" s="402"/>
    </row>
    <row r="62" spans="1:43" ht="12.95" customHeight="1">
      <c r="A62" s="402" t="str">
        <f t="shared" si="0"/>
        <v>QLTEFINE397D01024</v>
      </c>
      <c r="B62" s="368" t="s">
        <v>153</v>
      </c>
      <c r="C62" s="368" t="s">
        <v>328</v>
      </c>
      <c r="D62" s="368" t="s">
        <v>287</v>
      </c>
      <c r="E62" s="368" t="s">
        <v>108</v>
      </c>
      <c r="F62" s="368" t="s">
        <v>519</v>
      </c>
      <c r="G62" s="368" t="s">
        <v>275</v>
      </c>
      <c r="H62" s="368" t="s">
        <v>276</v>
      </c>
      <c r="I62" s="394">
        <v>518775</v>
      </c>
      <c r="J62" s="394">
        <v>5</v>
      </c>
      <c r="K62" s="395">
        <v>345.65</v>
      </c>
      <c r="L62" s="395">
        <v>348.2</v>
      </c>
      <c r="M62" s="396">
        <v>7.3233773693279726E-3</v>
      </c>
      <c r="N62" s="368" t="s">
        <v>277</v>
      </c>
      <c r="O62" s="395">
        <v>336.69620020239989</v>
      </c>
      <c r="P62" s="394">
        <v>174669571.25999999</v>
      </c>
      <c r="Q62" s="394">
        <v>174669571.25999999</v>
      </c>
      <c r="R62" s="394">
        <v>180637455</v>
      </c>
      <c r="S62" s="394">
        <v>2593875</v>
      </c>
      <c r="T62" s="394">
        <v>5967883.7400000002</v>
      </c>
      <c r="U62" s="394">
        <v>1322876.25</v>
      </c>
      <c r="V62" s="396">
        <v>2.69E-2</v>
      </c>
      <c r="W62" s="396">
        <v>2.6800000000000001E-2</v>
      </c>
      <c r="X62" s="394">
        <v>0</v>
      </c>
      <c r="Y62" s="394">
        <v>0</v>
      </c>
      <c r="Z62" s="405">
        <v>42766</v>
      </c>
      <c r="AA62" s="368" t="s">
        <v>278</v>
      </c>
      <c r="AB62" s="397"/>
      <c r="AC62" s="405"/>
      <c r="AD62" s="405"/>
      <c r="AE62" s="405"/>
      <c r="AF62" s="368"/>
      <c r="AG62" s="405"/>
      <c r="AH62" s="368" t="s">
        <v>79</v>
      </c>
      <c r="AI62" s="368" t="s">
        <v>279</v>
      </c>
      <c r="AJ62" s="368" t="s">
        <v>79</v>
      </c>
      <c r="AK62" s="368" t="s">
        <v>79</v>
      </c>
      <c r="AL62" s="368" t="s">
        <v>73</v>
      </c>
      <c r="AM62" s="368" t="s">
        <v>445</v>
      </c>
      <c r="AN62" s="368" t="s">
        <v>280</v>
      </c>
      <c r="AO62" s="402"/>
      <c r="AP62" s="402"/>
      <c r="AQ62" s="402"/>
    </row>
    <row r="63" spans="1:43" ht="12.95" customHeight="1">
      <c r="A63" s="402" t="str">
        <f t="shared" si="0"/>
        <v>QLTEFINE302A01020</v>
      </c>
      <c r="B63" s="368" t="s">
        <v>153</v>
      </c>
      <c r="C63" s="368" t="s">
        <v>328</v>
      </c>
      <c r="D63" s="368" t="s">
        <v>334</v>
      </c>
      <c r="E63" s="368" t="s">
        <v>180</v>
      </c>
      <c r="F63" s="368" t="s">
        <v>559</v>
      </c>
      <c r="G63" s="368" t="s">
        <v>275</v>
      </c>
      <c r="H63" s="368" t="s">
        <v>276</v>
      </c>
      <c r="I63" s="394">
        <v>1210000</v>
      </c>
      <c r="J63" s="394">
        <v>1</v>
      </c>
      <c r="K63" s="395">
        <v>202.6</v>
      </c>
      <c r="L63" s="395">
        <v>197.3</v>
      </c>
      <c r="M63" s="396">
        <v>-2.6862645717181957E-2</v>
      </c>
      <c r="N63" s="368" t="s">
        <v>277</v>
      </c>
      <c r="O63" s="395">
        <v>143.91772186776859</v>
      </c>
      <c r="P63" s="394">
        <v>174140443.46000001</v>
      </c>
      <c r="Q63" s="394">
        <v>174140443.46000001</v>
      </c>
      <c r="R63" s="394">
        <v>238733000</v>
      </c>
      <c r="S63" s="394">
        <v>1210000</v>
      </c>
      <c r="T63" s="394">
        <v>64592556.539999999</v>
      </c>
      <c r="U63" s="394">
        <v>-6413000</v>
      </c>
      <c r="V63" s="396">
        <v>3.5499999999999997E-2</v>
      </c>
      <c r="W63" s="396">
        <v>3.5499999999999997E-2</v>
      </c>
      <c r="X63" s="394">
        <v>0</v>
      </c>
      <c r="Y63" s="394">
        <v>0</v>
      </c>
      <c r="Z63" s="405">
        <v>42766</v>
      </c>
      <c r="AA63" s="368" t="s">
        <v>278</v>
      </c>
      <c r="AB63" s="397"/>
      <c r="AC63" s="405"/>
      <c r="AD63" s="405"/>
      <c r="AE63" s="405"/>
      <c r="AF63" s="368"/>
      <c r="AG63" s="405"/>
      <c r="AH63" s="368" t="s">
        <v>79</v>
      </c>
      <c r="AI63" s="368" t="s">
        <v>279</v>
      </c>
      <c r="AJ63" s="368" t="s">
        <v>79</v>
      </c>
      <c r="AK63" s="368" t="s">
        <v>79</v>
      </c>
      <c r="AL63" s="368" t="s">
        <v>179</v>
      </c>
      <c r="AM63" s="368" t="s">
        <v>484</v>
      </c>
      <c r="AN63" s="368" t="s">
        <v>280</v>
      </c>
      <c r="AO63" s="402"/>
      <c r="AP63" s="402"/>
      <c r="AQ63" s="402"/>
    </row>
    <row r="64" spans="1:43" ht="12.95" customHeight="1">
      <c r="A64" s="402" t="str">
        <f t="shared" si="0"/>
        <v>QLTEFINE059A01026</v>
      </c>
      <c r="B64" s="368" t="s">
        <v>153</v>
      </c>
      <c r="C64" s="368" t="s">
        <v>328</v>
      </c>
      <c r="D64" s="368" t="s">
        <v>288</v>
      </c>
      <c r="E64" s="368" t="s">
        <v>117</v>
      </c>
      <c r="F64" s="368" t="s">
        <v>520</v>
      </c>
      <c r="G64" s="368" t="s">
        <v>275</v>
      </c>
      <c r="H64" s="368" t="s">
        <v>276</v>
      </c>
      <c r="I64" s="394">
        <v>344616</v>
      </c>
      <c r="J64" s="394">
        <v>2</v>
      </c>
      <c r="K64" s="395">
        <v>582.25</v>
      </c>
      <c r="L64" s="395">
        <v>575.35</v>
      </c>
      <c r="M64" s="396">
        <v>-1.1992700095593986E-2</v>
      </c>
      <c r="N64" s="368" t="s">
        <v>277</v>
      </c>
      <c r="O64" s="395">
        <v>525.43641046846346</v>
      </c>
      <c r="P64" s="394">
        <v>181073794.03</v>
      </c>
      <c r="Q64" s="394">
        <v>181073794.03</v>
      </c>
      <c r="R64" s="394">
        <v>198274815.59999999</v>
      </c>
      <c r="S64" s="394">
        <v>689232</v>
      </c>
      <c r="T64" s="394">
        <v>17201021.57</v>
      </c>
      <c r="U64" s="394">
        <v>-2377850.4</v>
      </c>
      <c r="V64" s="396">
        <v>2.9499999999999998E-2</v>
      </c>
      <c r="W64" s="396">
        <v>2.9499999999999998E-2</v>
      </c>
      <c r="X64" s="394">
        <v>0</v>
      </c>
      <c r="Y64" s="394">
        <v>0</v>
      </c>
      <c r="Z64" s="405">
        <v>42766</v>
      </c>
      <c r="AA64" s="368" t="s">
        <v>278</v>
      </c>
      <c r="AB64" s="397"/>
      <c r="AC64" s="405"/>
      <c r="AD64" s="405"/>
      <c r="AE64" s="405"/>
      <c r="AF64" s="368"/>
      <c r="AG64" s="405"/>
      <c r="AH64" s="368" t="s">
        <v>79</v>
      </c>
      <c r="AI64" s="368" t="s">
        <v>279</v>
      </c>
      <c r="AJ64" s="368" t="s">
        <v>79</v>
      </c>
      <c r="AK64" s="368" t="s">
        <v>79</v>
      </c>
      <c r="AL64" s="368" t="s">
        <v>75</v>
      </c>
      <c r="AM64" s="368" t="s">
        <v>446</v>
      </c>
      <c r="AN64" s="368" t="s">
        <v>280</v>
      </c>
      <c r="AO64" s="402"/>
      <c r="AP64" s="402"/>
      <c r="AQ64" s="402"/>
    </row>
    <row r="65" spans="1:43" ht="12.95" customHeight="1">
      <c r="A65" s="402" t="str">
        <f t="shared" si="0"/>
        <v>QLTEFINE129A01019</v>
      </c>
      <c r="B65" s="368" t="s">
        <v>153</v>
      </c>
      <c r="C65" s="368" t="s">
        <v>328</v>
      </c>
      <c r="D65" s="368" t="s">
        <v>291</v>
      </c>
      <c r="E65" s="368" t="s">
        <v>122</v>
      </c>
      <c r="F65" s="368" t="s">
        <v>524</v>
      </c>
      <c r="G65" s="368" t="s">
        <v>275</v>
      </c>
      <c r="H65" s="368" t="s">
        <v>276</v>
      </c>
      <c r="I65" s="394">
        <v>437145</v>
      </c>
      <c r="J65" s="394">
        <v>10</v>
      </c>
      <c r="K65" s="395">
        <v>483.85</v>
      </c>
      <c r="L65" s="395">
        <v>468.15</v>
      </c>
      <c r="M65" s="396">
        <v>-3.353625974580797E-2</v>
      </c>
      <c r="N65" s="368" t="s">
        <v>277</v>
      </c>
      <c r="O65" s="395">
        <v>381.84995244140958</v>
      </c>
      <c r="P65" s="394">
        <v>166923797.46000001</v>
      </c>
      <c r="Q65" s="394">
        <v>166923797.46000001</v>
      </c>
      <c r="R65" s="394">
        <v>204649431.75</v>
      </c>
      <c r="S65" s="394">
        <v>4371450</v>
      </c>
      <c r="T65" s="394">
        <v>37725634.289999999</v>
      </c>
      <c r="U65" s="394">
        <v>-6863176.5</v>
      </c>
      <c r="V65" s="396">
        <v>3.0499999999999999E-2</v>
      </c>
      <c r="W65" s="396">
        <v>3.04E-2</v>
      </c>
      <c r="X65" s="394">
        <v>0</v>
      </c>
      <c r="Y65" s="394">
        <v>0</v>
      </c>
      <c r="Z65" s="405">
        <v>42766</v>
      </c>
      <c r="AA65" s="368" t="s">
        <v>278</v>
      </c>
      <c r="AB65" s="397"/>
      <c r="AC65" s="405"/>
      <c r="AD65" s="405"/>
      <c r="AE65" s="405"/>
      <c r="AF65" s="368"/>
      <c r="AG65" s="405"/>
      <c r="AH65" s="368" t="s">
        <v>79</v>
      </c>
      <c r="AI65" s="368" t="s">
        <v>279</v>
      </c>
      <c r="AJ65" s="368" t="s">
        <v>79</v>
      </c>
      <c r="AK65" s="368" t="s">
        <v>79</v>
      </c>
      <c r="AL65" s="368" t="s">
        <v>76</v>
      </c>
      <c r="AM65" s="368" t="s">
        <v>449</v>
      </c>
      <c r="AN65" s="368" t="s">
        <v>280</v>
      </c>
      <c r="AO65" s="402"/>
      <c r="AP65" s="402"/>
      <c r="AQ65" s="402"/>
    </row>
    <row r="66" spans="1:43" ht="12.95" customHeight="1">
      <c r="A66" s="402" t="str">
        <f t="shared" si="0"/>
        <v>QLTEFINE001A01036</v>
      </c>
      <c r="B66" s="368" t="s">
        <v>153</v>
      </c>
      <c r="C66" s="368" t="s">
        <v>328</v>
      </c>
      <c r="D66" s="368" t="s">
        <v>295</v>
      </c>
      <c r="E66" s="368" t="s">
        <v>100</v>
      </c>
      <c r="F66" s="368" t="s">
        <v>529</v>
      </c>
      <c r="G66" s="368" t="s">
        <v>275</v>
      </c>
      <c r="H66" s="368" t="s">
        <v>276</v>
      </c>
      <c r="I66" s="394">
        <v>316951</v>
      </c>
      <c r="J66" s="394">
        <v>2</v>
      </c>
      <c r="K66" s="395">
        <v>1371.9</v>
      </c>
      <c r="L66" s="395">
        <v>1365.85</v>
      </c>
      <c r="M66" s="396">
        <v>-4.4294761503825457E-3</v>
      </c>
      <c r="N66" s="368" t="s">
        <v>277</v>
      </c>
      <c r="O66" s="395">
        <v>906.13194702020189</v>
      </c>
      <c r="P66" s="394">
        <v>287199426.74000001</v>
      </c>
      <c r="Q66" s="394">
        <v>287199426.74000001</v>
      </c>
      <c r="R66" s="394">
        <v>432907523.35000002</v>
      </c>
      <c r="S66" s="394">
        <v>633902</v>
      </c>
      <c r="T66" s="394">
        <v>145708096.61000001</v>
      </c>
      <c r="U66" s="394">
        <v>-1917553.55</v>
      </c>
      <c r="V66" s="396">
        <v>6.4500000000000002E-2</v>
      </c>
      <c r="W66" s="396">
        <v>6.4299999999999996E-2</v>
      </c>
      <c r="X66" s="394">
        <v>0</v>
      </c>
      <c r="Y66" s="394">
        <v>0</v>
      </c>
      <c r="Z66" s="405">
        <v>42766</v>
      </c>
      <c r="AA66" s="368" t="s">
        <v>278</v>
      </c>
      <c r="AB66" s="397"/>
      <c r="AC66" s="405"/>
      <c r="AD66" s="405"/>
      <c r="AE66" s="405"/>
      <c r="AF66" s="368"/>
      <c r="AG66" s="405"/>
      <c r="AH66" s="368" t="s">
        <v>79</v>
      </c>
      <c r="AI66" s="368" t="s">
        <v>279</v>
      </c>
      <c r="AJ66" s="368" t="s">
        <v>79</v>
      </c>
      <c r="AK66" s="368" t="s">
        <v>79</v>
      </c>
      <c r="AL66" s="368" t="s">
        <v>65</v>
      </c>
      <c r="AM66" s="368" t="s">
        <v>454</v>
      </c>
      <c r="AN66" s="368" t="s">
        <v>280</v>
      </c>
      <c r="AO66" s="402"/>
      <c r="AP66" s="402"/>
      <c r="AQ66" s="402"/>
    </row>
    <row r="67" spans="1:43" ht="12.95" customHeight="1">
      <c r="A67" s="402" t="str">
        <f t="shared" si="0"/>
        <v>QLTEFINE158A01026</v>
      </c>
      <c r="B67" s="368" t="s">
        <v>153</v>
      </c>
      <c r="C67" s="368" t="s">
        <v>328</v>
      </c>
      <c r="D67" s="368" t="s">
        <v>296</v>
      </c>
      <c r="E67" s="368" t="s">
        <v>120</v>
      </c>
      <c r="F67" s="368" t="s">
        <v>530</v>
      </c>
      <c r="G67" s="368" t="s">
        <v>275</v>
      </c>
      <c r="H67" s="368" t="s">
        <v>276</v>
      </c>
      <c r="I67" s="394">
        <v>128300</v>
      </c>
      <c r="J67" s="394">
        <v>2</v>
      </c>
      <c r="K67" s="395">
        <v>3194.7</v>
      </c>
      <c r="L67" s="395">
        <v>3172.35</v>
      </c>
      <c r="M67" s="396">
        <v>-7.0452503664475861E-3</v>
      </c>
      <c r="N67" s="368" t="s">
        <v>277</v>
      </c>
      <c r="O67" s="395">
        <v>2298.2798404520654</v>
      </c>
      <c r="P67" s="394">
        <v>294869303.52999997</v>
      </c>
      <c r="Q67" s="394">
        <v>294869303.52999997</v>
      </c>
      <c r="R67" s="394">
        <v>407012505</v>
      </c>
      <c r="S67" s="394">
        <v>256600</v>
      </c>
      <c r="T67" s="394">
        <v>112143201.47</v>
      </c>
      <c r="U67" s="394">
        <v>-2867505</v>
      </c>
      <c r="V67" s="396">
        <v>6.0600000000000001E-2</v>
      </c>
      <c r="W67" s="396">
        <v>6.0499999999999998E-2</v>
      </c>
      <c r="X67" s="394">
        <v>0</v>
      </c>
      <c r="Y67" s="394">
        <v>0</v>
      </c>
      <c r="Z67" s="405">
        <v>42766</v>
      </c>
      <c r="AA67" s="368" t="s">
        <v>278</v>
      </c>
      <c r="AB67" s="397"/>
      <c r="AC67" s="405"/>
      <c r="AD67" s="405"/>
      <c r="AE67" s="405"/>
      <c r="AF67" s="368"/>
      <c r="AG67" s="405"/>
      <c r="AH67" s="368" t="s">
        <v>79</v>
      </c>
      <c r="AI67" s="368" t="s">
        <v>279</v>
      </c>
      <c r="AJ67" s="368" t="s">
        <v>79</v>
      </c>
      <c r="AK67" s="368" t="s">
        <v>79</v>
      </c>
      <c r="AL67" s="368" t="s">
        <v>62</v>
      </c>
      <c r="AM67" s="368" t="s">
        <v>455</v>
      </c>
      <c r="AN67" s="368" t="s">
        <v>280</v>
      </c>
      <c r="AO67" s="402"/>
      <c r="AP67" s="402"/>
      <c r="AQ67" s="402"/>
    </row>
    <row r="68" spans="1:43" ht="12.95" customHeight="1">
      <c r="A68" s="402" t="str">
        <f t="shared" si="0"/>
        <v>QLTEFINE090A01021</v>
      </c>
      <c r="B68" s="368" t="s">
        <v>153</v>
      </c>
      <c r="C68" s="368" t="s">
        <v>328</v>
      </c>
      <c r="D68" s="368" t="s">
        <v>299</v>
      </c>
      <c r="E68" s="368" t="s">
        <v>204</v>
      </c>
      <c r="F68" s="368" t="s">
        <v>533</v>
      </c>
      <c r="G68" s="368" t="s">
        <v>275</v>
      </c>
      <c r="H68" s="368" t="s">
        <v>276</v>
      </c>
      <c r="I68" s="394">
        <v>949223</v>
      </c>
      <c r="J68" s="394">
        <v>2</v>
      </c>
      <c r="K68" s="395">
        <v>270.8</v>
      </c>
      <c r="L68" s="395">
        <v>268.95</v>
      </c>
      <c r="M68" s="396">
        <v>-6.8786019706265104E-3</v>
      </c>
      <c r="N68" s="368" t="s">
        <v>277</v>
      </c>
      <c r="O68" s="395">
        <v>230.69806858872994</v>
      </c>
      <c r="P68" s="394">
        <v>218983912.75999999</v>
      </c>
      <c r="Q68" s="394">
        <v>218983912.75999999</v>
      </c>
      <c r="R68" s="394">
        <v>255293525.84999999</v>
      </c>
      <c r="S68" s="394">
        <v>1898446</v>
      </c>
      <c r="T68" s="394">
        <v>36309613.090000004</v>
      </c>
      <c r="U68" s="394">
        <v>-1756062.55</v>
      </c>
      <c r="V68" s="396">
        <v>3.7999999999999999E-2</v>
      </c>
      <c r="W68" s="396">
        <v>3.7900000000000003E-2</v>
      </c>
      <c r="X68" s="394">
        <v>0</v>
      </c>
      <c r="Y68" s="394">
        <v>0</v>
      </c>
      <c r="Z68" s="405">
        <v>42766</v>
      </c>
      <c r="AA68" s="368" t="s">
        <v>278</v>
      </c>
      <c r="AB68" s="397"/>
      <c r="AC68" s="405"/>
      <c r="AD68" s="405"/>
      <c r="AE68" s="405"/>
      <c r="AF68" s="368"/>
      <c r="AG68" s="405"/>
      <c r="AH68" s="368" t="s">
        <v>79</v>
      </c>
      <c r="AI68" s="368" t="s">
        <v>279</v>
      </c>
      <c r="AJ68" s="368" t="s">
        <v>79</v>
      </c>
      <c r="AK68" s="368" t="s">
        <v>79</v>
      </c>
      <c r="AL68" s="368" t="s">
        <v>64</v>
      </c>
      <c r="AM68" s="368" t="s">
        <v>458</v>
      </c>
      <c r="AN68" s="368" t="s">
        <v>280</v>
      </c>
      <c r="AO68" s="402"/>
      <c r="AP68" s="402"/>
      <c r="AQ68" s="402"/>
    </row>
    <row r="69" spans="1:43" ht="12.95" customHeight="1">
      <c r="A69" s="402" t="str">
        <f t="shared" ref="A69:A132" si="1">+B69&amp;E69</f>
        <v>QLTEFINE053A01029</v>
      </c>
      <c r="B69" s="368" t="s">
        <v>153</v>
      </c>
      <c r="C69" s="368" t="s">
        <v>328</v>
      </c>
      <c r="D69" s="368" t="s">
        <v>335</v>
      </c>
      <c r="E69" s="368" t="s">
        <v>131</v>
      </c>
      <c r="F69" s="368" t="s">
        <v>560</v>
      </c>
      <c r="G69" s="368" t="s">
        <v>275</v>
      </c>
      <c r="H69" s="368" t="s">
        <v>276</v>
      </c>
      <c r="I69" s="394">
        <v>1782765</v>
      </c>
      <c r="J69" s="394">
        <v>1</v>
      </c>
      <c r="K69" s="395">
        <v>109.95</v>
      </c>
      <c r="L69" s="395">
        <v>108.05</v>
      </c>
      <c r="M69" s="396">
        <v>-1.7584451642757983E-2</v>
      </c>
      <c r="N69" s="368" t="s">
        <v>277</v>
      </c>
      <c r="O69" s="395">
        <v>79.828194994853504</v>
      </c>
      <c r="P69" s="394">
        <v>142314912.05000001</v>
      </c>
      <c r="Q69" s="394">
        <v>142314912.05000001</v>
      </c>
      <c r="R69" s="394">
        <v>192627758.25</v>
      </c>
      <c r="S69" s="394">
        <v>1782765</v>
      </c>
      <c r="T69" s="394">
        <v>50312846.200000003</v>
      </c>
      <c r="U69" s="394">
        <v>-3387253.5</v>
      </c>
      <c r="V69" s="396">
        <v>2.87E-2</v>
      </c>
      <c r="W69" s="396">
        <v>2.86E-2</v>
      </c>
      <c r="X69" s="394">
        <v>0</v>
      </c>
      <c r="Y69" s="394">
        <v>0</v>
      </c>
      <c r="Z69" s="405">
        <v>42766</v>
      </c>
      <c r="AA69" s="368" t="s">
        <v>278</v>
      </c>
      <c r="AB69" s="397"/>
      <c r="AC69" s="405"/>
      <c r="AD69" s="405"/>
      <c r="AE69" s="405"/>
      <c r="AF69" s="368"/>
      <c r="AG69" s="405"/>
      <c r="AH69" s="368" t="s">
        <v>79</v>
      </c>
      <c r="AI69" s="368" t="s">
        <v>279</v>
      </c>
      <c r="AJ69" s="368" t="s">
        <v>79</v>
      </c>
      <c r="AK69" s="368" t="s">
        <v>79</v>
      </c>
      <c r="AL69" s="368" t="s">
        <v>213</v>
      </c>
      <c r="AM69" s="368" t="s">
        <v>485</v>
      </c>
      <c r="AN69" s="368" t="s">
        <v>280</v>
      </c>
      <c r="AO69" s="402"/>
      <c r="AP69" s="402"/>
      <c r="AQ69" s="402"/>
    </row>
    <row r="70" spans="1:43" ht="12.95" customHeight="1">
      <c r="A70" s="402" t="str">
        <f t="shared" si="1"/>
        <v>QLTEFINE009A01021</v>
      </c>
      <c r="B70" s="368" t="s">
        <v>153</v>
      </c>
      <c r="C70" s="368" t="s">
        <v>328</v>
      </c>
      <c r="D70" s="368" t="s">
        <v>301</v>
      </c>
      <c r="E70" s="368" t="s">
        <v>99</v>
      </c>
      <c r="F70" s="368" t="s">
        <v>535</v>
      </c>
      <c r="G70" s="368" t="s">
        <v>275</v>
      </c>
      <c r="H70" s="368" t="s">
        <v>276</v>
      </c>
      <c r="I70" s="394">
        <v>374982</v>
      </c>
      <c r="J70" s="394">
        <v>5</v>
      </c>
      <c r="K70" s="395">
        <v>949.35</v>
      </c>
      <c r="L70" s="395">
        <v>928.6</v>
      </c>
      <c r="M70" s="396">
        <v>-2.2345466293344819E-2</v>
      </c>
      <c r="N70" s="368" t="s">
        <v>277</v>
      </c>
      <c r="O70" s="395">
        <v>861.27338042892723</v>
      </c>
      <c r="P70" s="394">
        <v>322962014.74000001</v>
      </c>
      <c r="Q70" s="394">
        <v>322962014.74000001</v>
      </c>
      <c r="R70" s="394">
        <v>348208285.19999999</v>
      </c>
      <c r="S70" s="394">
        <v>1874910</v>
      </c>
      <c r="T70" s="394">
        <v>25246270.460000001</v>
      </c>
      <c r="U70" s="394">
        <v>-7780876.5</v>
      </c>
      <c r="V70" s="396">
        <v>5.1900000000000002E-2</v>
      </c>
      <c r="W70" s="396">
        <v>5.1700000000000003E-2</v>
      </c>
      <c r="X70" s="394">
        <v>0</v>
      </c>
      <c r="Y70" s="394">
        <v>0</v>
      </c>
      <c r="Z70" s="405">
        <v>42766</v>
      </c>
      <c r="AA70" s="368" t="s">
        <v>278</v>
      </c>
      <c r="AB70" s="397"/>
      <c r="AC70" s="405"/>
      <c r="AD70" s="405"/>
      <c r="AE70" s="405"/>
      <c r="AF70" s="368"/>
      <c r="AG70" s="405"/>
      <c r="AH70" s="368" t="s">
        <v>79</v>
      </c>
      <c r="AI70" s="368" t="s">
        <v>279</v>
      </c>
      <c r="AJ70" s="368" t="s">
        <v>79</v>
      </c>
      <c r="AK70" s="368" t="s">
        <v>79</v>
      </c>
      <c r="AL70" s="368" t="s">
        <v>63</v>
      </c>
      <c r="AM70" s="368" t="s">
        <v>460</v>
      </c>
      <c r="AN70" s="368" t="s">
        <v>280</v>
      </c>
      <c r="AO70" s="402"/>
      <c r="AP70" s="402"/>
      <c r="AQ70" s="402"/>
    </row>
    <row r="71" spans="1:43" ht="12.95" customHeight="1">
      <c r="A71" s="402" t="str">
        <f t="shared" si="1"/>
        <v>QLTEFINE242A01010</v>
      </c>
      <c r="B71" s="368" t="s">
        <v>153</v>
      </c>
      <c r="C71" s="368" t="s">
        <v>328</v>
      </c>
      <c r="D71" s="368" t="s">
        <v>336</v>
      </c>
      <c r="E71" s="368" t="s">
        <v>143</v>
      </c>
      <c r="F71" s="368" t="s">
        <v>561</v>
      </c>
      <c r="G71" s="368" t="s">
        <v>275</v>
      </c>
      <c r="H71" s="368" t="s">
        <v>276</v>
      </c>
      <c r="I71" s="394">
        <v>313116</v>
      </c>
      <c r="J71" s="394">
        <v>10</v>
      </c>
      <c r="K71" s="395">
        <v>377.8</v>
      </c>
      <c r="L71" s="395">
        <v>366.4</v>
      </c>
      <c r="M71" s="396">
        <v>-3.111353711790393E-2</v>
      </c>
      <c r="N71" s="368" t="s">
        <v>277</v>
      </c>
      <c r="O71" s="395">
        <v>141.87629335453954</v>
      </c>
      <c r="P71" s="394">
        <v>44423737.469999999</v>
      </c>
      <c r="Q71" s="394">
        <v>44423737.469999999</v>
      </c>
      <c r="R71" s="394">
        <v>114725702.40000001</v>
      </c>
      <c r="S71" s="394">
        <v>3131160</v>
      </c>
      <c r="T71" s="394">
        <v>70301964.930000007</v>
      </c>
      <c r="U71" s="394">
        <v>-3569522.4</v>
      </c>
      <c r="V71" s="396">
        <v>1.7100000000000001E-2</v>
      </c>
      <c r="W71" s="396">
        <v>1.7000000000000001E-2</v>
      </c>
      <c r="X71" s="394">
        <v>0</v>
      </c>
      <c r="Y71" s="394">
        <v>0</v>
      </c>
      <c r="Z71" s="405">
        <v>42766</v>
      </c>
      <c r="AA71" s="368" t="s">
        <v>278</v>
      </c>
      <c r="AB71" s="397"/>
      <c r="AC71" s="405"/>
      <c r="AD71" s="405"/>
      <c r="AE71" s="405"/>
      <c r="AF71" s="368"/>
      <c r="AG71" s="405"/>
      <c r="AH71" s="368" t="s">
        <v>79</v>
      </c>
      <c r="AI71" s="368" t="s">
        <v>279</v>
      </c>
      <c r="AJ71" s="368" t="s">
        <v>79</v>
      </c>
      <c r="AK71" s="368" t="s">
        <v>79</v>
      </c>
      <c r="AL71" s="368" t="s">
        <v>74</v>
      </c>
      <c r="AM71" s="368" t="s">
        <v>486</v>
      </c>
      <c r="AN71" s="368" t="s">
        <v>280</v>
      </c>
      <c r="AO71" s="402"/>
      <c r="AP71" s="402"/>
      <c r="AQ71" s="402"/>
    </row>
    <row r="72" spans="1:43" ht="12.95" customHeight="1">
      <c r="A72" s="402" t="str">
        <f t="shared" si="1"/>
        <v>QLTEFINE237A01028</v>
      </c>
      <c r="B72" s="368" t="s">
        <v>153</v>
      </c>
      <c r="C72" s="368" t="s">
        <v>328</v>
      </c>
      <c r="D72" s="368" t="s">
        <v>303</v>
      </c>
      <c r="E72" s="368" t="s">
        <v>112</v>
      </c>
      <c r="F72" s="368" t="s">
        <v>537</v>
      </c>
      <c r="G72" s="368" t="s">
        <v>275</v>
      </c>
      <c r="H72" s="368" t="s">
        <v>276</v>
      </c>
      <c r="I72" s="394">
        <v>165201</v>
      </c>
      <c r="J72" s="394">
        <v>5</v>
      </c>
      <c r="K72" s="395">
        <v>775.6</v>
      </c>
      <c r="L72" s="395">
        <v>774.15</v>
      </c>
      <c r="M72" s="396">
        <v>-1.8730220241555255E-3</v>
      </c>
      <c r="N72" s="368" t="s">
        <v>277</v>
      </c>
      <c r="O72" s="395">
        <v>375.66240216463581</v>
      </c>
      <c r="P72" s="394">
        <v>62059804.5</v>
      </c>
      <c r="Q72" s="394">
        <v>62059804.5</v>
      </c>
      <c r="R72" s="394">
        <v>127890354.15000001</v>
      </c>
      <c r="S72" s="394">
        <v>826005</v>
      </c>
      <c r="T72" s="394">
        <v>65830549.649999999</v>
      </c>
      <c r="U72" s="394">
        <v>-239541.45</v>
      </c>
      <c r="V72" s="396">
        <v>1.9E-2</v>
      </c>
      <c r="W72" s="396">
        <v>1.9E-2</v>
      </c>
      <c r="X72" s="394">
        <v>0</v>
      </c>
      <c r="Y72" s="394">
        <v>0</v>
      </c>
      <c r="Z72" s="405">
        <v>42766</v>
      </c>
      <c r="AA72" s="368" t="s">
        <v>278</v>
      </c>
      <c r="AB72" s="397"/>
      <c r="AC72" s="405"/>
      <c r="AD72" s="405"/>
      <c r="AE72" s="405"/>
      <c r="AF72" s="368"/>
      <c r="AG72" s="405"/>
      <c r="AH72" s="368" t="s">
        <v>79</v>
      </c>
      <c r="AI72" s="368" t="s">
        <v>279</v>
      </c>
      <c r="AJ72" s="368" t="s">
        <v>79</v>
      </c>
      <c r="AK72" s="368" t="s">
        <v>79</v>
      </c>
      <c r="AL72" s="368" t="s">
        <v>64</v>
      </c>
      <c r="AM72" s="368" t="s">
        <v>462</v>
      </c>
      <c r="AN72" s="368" t="s">
        <v>280</v>
      </c>
      <c r="AO72" s="402"/>
      <c r="AP72" s="402"/>
      <c r="AQ72" s="402"/>
    </row>
    <row r="73" spans="1:43" ht="12.95" customHeight="1">
      <c r="A73" s="402" t="str">
        <f t="shared" si="1"/>
        <v>QLTEFINE018A01030</v>
      </c>
      <c r="B73" s="368" t="s">
        <v>153</v>
      </c>
      <c r="C73" s="368" t="s">
        <v>328</v>
      </c>
      <c r="D73" s="368" t="s">
        <v>304</v>
      </c>
      <c r="E73" s="368" t="s">
        <v>102</v>
      </c>
      <c r="F73" s="368" t="s">
        <v>538</v>
      </c>
      <c r="G73" s="368" t="s">
        <v>275</v>
      </c>
      <c r="H73" s="368" t="s">
        <v>276</v>
      </c>
      <c r="I73" s="394">
        <v>160214</v>
      </c>
      <c r="J73" s="394">
        <v>2</v>
      </c>
      <c r="K73" s="395">
        <v>1442.8</v>
      </c>
      <c r="L73" s="395">
        <v>1446.25</v>
      </c>
      <c r="M73" s="396">
        <v>2.3854796888504752E-3</v>
      </c>
      <c r="N73" s="368" t="s">
        <v>277</v>
      </c>
      <c r="O73" s="395">
        <v>1246.0948003919757</v>
      </c>
      <c r="P73" s="394">
        <v>199641832.34999999</v>
      </c>
      <c r="Q73" s="394">
        <v>199641832.34999999</v>
      </c>
      <c r="R73" s="394">
        <v>231709497.5</v>
      </c>
      <c r="S73" s="394">
        <v>320428</v>
      </c>
      <c r="T73" s="394">
        <v>32067665.149999999</v>
      </c>
      <c r="U73" s="394">
        <v>552738.30000000005</v>
      </c>
      <c r="V73" s="396">
        <v>3.4500000000000003E-2</v>
      </c>
      <c r="W73" s="396">
        <v>3.44E-2</v>
      </c>
      <c r="X73" s="394">
        <v>0</v>
      </c>
      <c r="Y73" s="394">
        <v>0</v>
      </c>
      <c r="Z73" s="405">
        <v>42766</v>
      </c>
      <c r="AA73" s="368" t="s">
        <v>278</v>
      </c>
      <c r="AB73" s="397"/>
      <c r="AC73" s="405"/>
      <c r="AD73" s="405"/>
      <c r="AE73" s="405"/>
      <c r="AF73" s="368"/>
      <c r="AG73" s="405"/>
      <c r="AH73" s="368" t="s">
        <v>79</v>
      </c>
      <c r="AI73" s="368" t="s">
        <v>279</v>
      </c>
      <c r="AJ73" s="368" t="s">
        <v>79</v>
      </c>
      <c r="AK73" s="368" t="s">
        <v>79</v>
      </c>
      <c r="AL73" s="368" t="s">
        <v>71</v>
      </c>
      <c r="AM73" s="368" t="s">
        <v>463</v>
      </c>
      <c r="AN73" s="368" t="s">
        <v>280</v>
      </c>
      <c r="AO73" s="402"/>
      <c r="AP73" s="402"/>
      <c r="AQ73" s="402"/>
    </row>
    <row r="74" spans="1:43" ht="12.95" customHeight="1">
      <c r="A74" s="402" t="str">
        <f t="shared" si="1"/>
        <v>QLTEFINE733E01010</v>
      </c>
      <c r="B74" s="368" t="s">
        <v>153</v>
      </c>
      <c r="C74" s="368" t="s">
        <v>328</v>
      </c>
      <c r="D74" s="368" t="s">
        <v>309</v>
      </c>
      <c r="E74" s="368" t="s">
        <v>114</v>
      </c>
      <c r="F74" s="368" t="s">
        <v>544</v>
      </c>
      <c r="G74" s="368" t="s">
        <v>275</v>
      </c>
      <c r="H74" s="368" t="s">
        <v>276</v>
      </c>
      <c r="I74" s="394">
        <v>1761089</v>
      </c>
      <c r="J74" s="394">
        <v>10</v>
      </c>
      <c r="K74" s="395">
        <v>175.7</v>
      </c>
      <c r="L74" s="395">
        <v>172.35</v>
      </c>
      <c r="M74" s="396">
        <v>-1.9437191760951551E-2</v>
      </c>
      <c r="N74" s="368" t="s">
        <v>277</v>
      </c>
      <c r="O74" s="395">
        <v>147.50454978141366</v>
      </c>
      <c r="P74" s="394">
        <v>259768640.06999999</v>
      </c>
      <c r="Q74" s="394">
        <v>259768640.06999999</v>
      </c>
      <c r="R74" s="394">
        <v>303523689.14999998</v>
      </c>
      <c r="S74" s="394">
        <v>17610890</v>
      </c>
      <c r="T74" s="394">
        <v>43755049.079999998</v>
      </c>
      <c r="U74" s="394">
        <v>-5899648.1500000004</v>
      </c>
      <c r="V74" s="396">
        <v>4.5199999999999997E-2</v>
      </c>
      <c r="W74" s="396">
        <v>4.5100000000000001E-2</v>
      </c>
      <c r="X74" s="394">
        <v>0</v>
      </c>
      <c r="Y74" s="394">
        <v>0</v>
      </c>
      <c r="Z74" s="405">
        <v>42766</v>
      </c>
      <c r="AA74" s="368" t="s">
        <v>278</v>
      </c>
      <c r="AB74" s="397"/>
      <c r="AC74" s="405"/>
      <c r="AD74" s="405"/>
      <c r="AE74" s="405"/>
      <c r="AF74" s="368"/>
      <c r="AG74" s="405"/>
      <c r="AH74" s="368" t="s">
        <v>79</v>
      </c>
      <c r="AI74" s="368" t="s">
        <v>279</v>
      </c>
      <c r="AJ74" s="368" t="s">
        <v>79</v>
      </c>
      <c r="AK74" s="368" t="s">
        <v>79</v>
      </c>
      <c r="AL74" s="368" t="s">
        <v>70</v>
      </c>
      <c r="AM74" s="368" t="s">
        <v>469</v>
      </c>
      <c r="AN74" s="368" t="s">
        <v>280</v>
      </c>
      <c r="AO74" s="402"/>
      <c r="AP74" s="402"/>
      <c r="AQ74" s="402"/>
    </row>
    <row r="75" spans="1:43" ht="12.95" customHeight="1">
      <c r="A75" s="402" t="str">
        <f t="shared" si="1"/>
        <v>QLTEFINE213A01029</v>
      </c>
      <c r="B75" s="368" t="s">
        <v>153</v>
      </c>
      <c r="C75" s="368" t="s">
        <v>328</v>
      </c>
      <c r="D75" s="368" t="s">
        <v>310</v>
      </c>
      <c r="E75" s="368" t="s">
        <v>105</v>
      </c>
      <c r="F75" s="368" t="s">
        <v>545</v>
      </c>
      <c r="G75" s="368" t="s">
        <v>275</v>
      </c>
      <c r="H75" s="368" t="s">
        <v>276</v>
      </c>
      <c r="I75" s="394">
        <v>1312656</v>
      </c>
      <c r="J75" s="394">
        <v>5</v>
      </c>
      <c r="K75" s="395">
        <v>201.85</v>
      </c>
      <c r="L75" s="395">
        <v>202.55</v>
      </c>
      <c r="M75" s="396">
        <v>3.455936805726981E-3</v>
      </c>
      <c r="N75" s="368" t="s">
        <v>277</v>
      </c>
      <c r="O75" s="395">
        <v>186.04822171231459</v>
      </c>
      <c r="P75" s="394">
        <v>244217314.52000001</v>
      </c>
      <c r="Q75" s="394">
        <v>244217314.52000001</v>
      </c>
      <c r="R75" s="394">
        <v>265878472.80000001</v>
      </c>
      <c r="S75" s="394">
        <v>6563280</v>
      </c>
      <c r="T75" s="394">
        <v>21661158.280000001</v>
      </c>
      <c r="U75" s="394">
        <v>918859.2</v>
      </c>
      <c r="V75" s="396">
        <v>3.9600000000000003E-2</v>
      </c>
      <c r="W75" s="396">
        <v>3.95E-2</v>
      </c>
      <c r="X75" s="394">
        <v>0</v>
      </c>
      <c r="Y75" s="394">
        <v>0</v>
      </c>
      <c r="Z75" s="405">
        <v>42766</v>
      </c>
      <c r="AA75" s="368" t="s">
        <v>278</v>
      </c>
      <c r="AB75" s="397"/>
      <c r="AC75" s="405"/>
      <c r="AD75" s="405"/>
      <c r="AE75" s="405"/>
      <c r="AF75" s="368"/>
      <c r="AG75" s="405"/>
      <c r="AH75" s="368" t="s">
        <v>79</v>
      </c>
      <c r="AI75" s="368" t="s">
        <v>279</v>
      </c>
      <c r="AJ75" s="368" t="s">
        <v>79</v>
      </c>
      <c r="AK75" s="368" t="s">
        <v>79</v>
      </c>
      <c r="AL75" s="368" t="s">
        <v>66</v>
      </c>
      <c r="AM75" s="368" t="s">
        <v>470</v>
      </c>
      <c r="AN75" s="368" t="s">
        <v>280</v>
      </c>
      <c r="AO75" s="402"/>
      <c r="AP75" s="402"/>
      <c r="AQ75" s="402"/>
    </row>
    <row r="76" spans="1:43" ht="12.95" customHeight="1">
      <c r="A76" s="402" t="str">
        <f t="shared" si="1"/>
        <v>QLTEFINE752E01010</v>
      </c>
      <c r="B76" s="368" t="s">
        <v>153</v>
      </c>
      <c r="C76" s="368" t="s">
        <v>328</v>
      </c>
      <c r="D76" s="368" t="s">
        <v>311</v>
      </c>
      <c r="E76" s="368" t="s">
        <v>123</v>
      </c>
      <c r="F76" s="368" t="s">
        <v>546</v>
      </c>
      <c r="G76" s="368" t="s">
        <v>275</v>
      </c>
      <c r="H76" s="368" t="s">
        <v>276</v>
      </c>
      <c r="I76" s="394">
        <v>1067661</v>
      </c>
      <c r="J76" s="394">
        <v>10</v>
      </c>
      <c r="K76" s="395">
        <v>205.7</v>
      </c>
      <c r="L76" s="395">
        <v>207.2</v>
      </c>
      <c r="M76" s="396">
        <v>7.2393822393822397E-3</v>
      </c>
      <c r="N76" s="368" t="s">
        <v>277</v>
      </c>
      <c r="O76" s="395">
        <v>147.90857372330731</v>
      </c>
      <c r="P76" s="394">
        <v>157916215.72999999</v>
      </c>
      <c r="Q76" s="394">
        <v>157916215.72999999</v>
      </c>
      <c r="R76" s="394">
        <v>221219359.19999999</v>
      </c>
      <c r="S76" s="394">
        <v>10676610</v>
      </c>
      <c r="T76" s="394">
        <v>63303143.469999999</v>
      </c>
      <c r="U76" s="394">
        <v>1601491.5</v>
      </c>
      <c r="V76" s="396">
        <v>3.2899999999999999E-2</v>
      </c>
      <c r="W76" s="396">
        <v>3.2899999999999999E-2</v>
      </c>
      <c r="X76" s="394">
        <v>0</v>
      </c>
      <c r="Y76" s="394">
        <v>0</v>
      </c>
      <c r="Z76" s="405">
        <v>42766</v>
      </c>
      <c r="AA76" s="368" t="s">
        <v>278</v>
      </c>
      <c r="AB76" s="397"/>
      <c r="AC76" s="405"/>
      <c r="AD76" s="405"/>
      <c r="AE76" s="405"/>
      <c r="AF76" s="368"/>
      <c r="AG76" s="405"/>
      <c r="AH76" s="368" t="s">
        <v>79</v>
      </c>
      <c r="AI76" s="368" t="s">
        <v>279</v>
      </c>
      <c r="AJ76" s="368" t="s">
        <v>79</v>
      </c>
      <c r="AK76" s="368" t="s">
        <v>79</v>
      </c>
      <c r="AL76" s="368" t="s">
        <v>70</v>
      </c>
      <c r="AM76" s="368" t="s">
        <v>471</v>
      </c>
      <c r="AN76" s="368" t="s">
        <v>280</v>
      </c>
      <c r="AO76" s="402"/>
      <c r="AP76" s="402"/>
      <c r="AQ76" s="402"/>
    </row>
    <row r="77" spans="1:43" ht="12.95" customHeight="1">
      <c r="A77" s="402" t="str">
        <f t="shared" si="1"/>
        <v>QLTEFINE347G01014</v>
      </c>
      <c r="B77" s="368" t="s">
        <v>153</v>
      </c>
      <c r="C77" s="368" t="s">
        <v>328</v>
      </c>
      <c r="D77" s="368" t="s">
        <v>337</v>
      </c>
      <c r="E77" s="368" t="s">
        <v>167</v>
      </c>
      <c r="F77" s="368" t="s">
        <v>562</v>
      </c>
      <c r="G77" s="368" t="s">
        <v>275</v>
      </c>
      <c r="H77" s="368" t="s">
        <v>276</v>
      </c>
      <c r="I77" s="394">
        <v>339720</v>
      </c>
      <c r="J77" s="394">
        <v>10</v>
      </c>
      <c r="K77" s="395">
        <v>385.05</v>
      </c>
      <c r="L77" s="395">
        <v>373.95</v>
      </c>
      <c r="M77" s="396">
        <v>-2.9683112715603692E-2</v>
      </c>
      <c r="N77" s="368" t="s">
        <v>277</v>
      </c>
      <c r="O77" s="395">
        <v>151.99691304603792</v>
      </c>
      <c r="P77" s="394">
        <v>51636391.299999997</v>
      </c>
      <c r="Q77" s="394">
        <v>51636391.299999997</v>
      </c>
      <c r="R77" s="394">
        <v>127038294</v>
      </c>
      <c r="S77" s="394">
        <v>3397200</v>
      </c>
      <c r="T77" s="394">
        <v>75401902.700000003</v>
      </c>
      <c r="U77" s="394">
        <v>-3770892</v>
      </c>
      <c r="V77" s="396">
        <v>1.89E-2</v>
      </c>
      <c r="W77" s="396">
        <v>1.89E-2</v>
      </c>
      <c r="X77" s="394">
        <v>0</v>
      </c>
      <c r="Y77" s="394">
        <v>0</v>
      </c>
      <c r="Z77" s="405">
        <v>42766</v>
      </c>
      <c r="AA77" s="368" t="s">
        <v>278</v>
      </c>
      <c r="AB77" s="397"/>
      <c r="AC77" s="405"/>
      <c r="AD77" s="405"/>
      <c r="AE77" s="405"/>
      <c r="AF77" s="368"/>
      <c r="AG77" s="405"/>
      <c r="AH77" s="368" t="s">
        <v>79</v>
      </c>
      <c r="AI77" s="368" t="s">
        <v>279</v>
      </c>
      <c r="AJ77" s="368" t="s">
        <v>79</v>
      </c>
      <c r="AK77" s="368" t="s">
        <v>79</v>
      </c>
      <c r="AL77" s="368" t="s">
        <v>76</v>
      </c>
      <c r="AM77" s="368" t="s">
        <v>487</v>
      </c>
      <c r="AN77" s="368" t="s">
        <v>280</v>
      </c>
      <c r="AO77" s="402"/>
      <c r="AP77" s="402"/>
      <c r="AQ77" s="402"/>
    </row>
    <row r="78" spans="1:43" ht="12.95" customHeight="1">
      <c r="A78" s="402" t="str">
        <f t="shared" si="1"/>
        <v>QLTEFINE877F01012</v>
      </c>
      <c r="B78" s="368" t="s">
        <v>153</v>
      </c>
      <c r="C78" s="368" t="s">
        <v>328</v>
      </c>
      <c r="D78" s="368" t="s">
        <v>338</v>
      </c>
      <c r="E78" s="368" t="s">
        <v>132</v>
      </c>
      <c r="F78" s="368" t="s">
        <v>563</v>
      </c>
      <c r="G78" s="368" t="s">
        <v>275</v>
      </c>
      <c r="H78" s="368" t="s">
        <v>276</v>
      </c>
      <c r="I78" s="394">
        <v>1976669</v>
      </c>
      <c r="J78" s="394">
        <v>10</v>
      </c>
      <c r="K78" s="395">
        <v>86.5</v>
      </c>
      <c r="L78" s="395">
        <v>84.1</v>
      </c>
      <c r="M78" s="396">
        <v>-2.8537455410225922E-2</v>
      </c>
      <c r="N78" s="368" t="s">
        <v>277</v>
      </c>
      <c r="O78" s="395">
        <v>67.581938614912261</v>
      </c>
      <c r="P78" s="394">
        <v>133587123.02</v>
      </c>
      <c r="Q78" s="394">
        <v>133587123.02</v>
      </c>
      <c r="R78" s="394">
        <v>166237862.90000001</v>
      </c>
      <c r="S78" s="394">
        <v>19766690</v>
      </c>
      <c r="T78" s="394">
        <v>32650739.879999999</v>
      </c>
      <c r="U78" s="394">
        <v>-4744005.5999999996</v>
      </c>
      <c r="V78" s="396">
        <v>2.4799999999999999E-2</v>
      </c>
      <c r="W78" s="396">
        <v>2.47E-2</v>
      </c>
      <c r="X78" s="394">
        <v>0</v>
      </c>
      <c r="Y78" s="394">
        <v>0</v>
      </c>
      <c r="Z78" s="405">
        <v>42766</v>
      </c>
      <c r="AA78" s="368" t="s">
        <v>278</v>
      </c>
      <c r="AB78" s="397"/>
      <c r="AC78" s="405"/>
      <c r="AD78" s="405"/>
      <c r="AE78" s="405"/>
      <c r="AF78" s="368"/>
      <c r="AG78" s="405"/>
      <c r="AH78" s="368" t="s">
        <v>79</v>
      </c>
      <c r="AI78" s="368" t="s">
        <v>279</v>
      </c>
      <c r="AJ78" s="368" t="s">
        <v>79</v>
      </c>
      <c r="AK78" s="368" t="s">
        <v>79</v>
      </c>
      <c r="AL78" s="368" t="s">
        <v>70</v>
      </c>
      <c r="AM78" s="368" t="s">
        <v>488</v>
      </c>
      <c r="AN78" s="368" t="s">
        <v>280</v>
      </c>
      <c r="AO78" s="402"/>
      <c r="AP78" s="402"/>
      <c r="AQ78" s="402"/>
    </row>
    <row r="79" spans="1:43" ht="12.95" customHeight="1">
      <c r="A79" s="402" t="str">
        <f t="shared" si="1"/>
        <v>QLTEFINE062A01020</v>
      </c>
      <c r="B79" s="368" t="s">
        <v>153</v>
      </c>
      <c r="C79" s="368" t="s">
        <v>328</v>
      </c>
      <c r="D79" s="368" t="s">
        <v>313</v>
      </c>
      <c r="E79" s="368" t="s">
        <v>201</v>
      </c>
      <c r="F79" s="368" t="s">
        <v>210</v>
      </c>
      <c r="G79" s="368" t="s">
        <v>275</v>
      </c>
      <c r="H79" s="368" t="s">
        <v>276</v>
      </c>
      <c r="I79" s="394">
        <v>981957</v>
      </c>
      <c r="J79" s="394">
        <v>1</v>
      </c>
      <c r="K79" s="395">
        <v>263.95</v>
      </c>
      <c r="L79" s="395">
        <v>260.35000000000002</v>
      </c>
      <c r="M79" s="396">
        <v>-1.3827539850201652E-2</v>
      </c>
      <c r="N79" s="368" t="s">
        <v>277</v>
      </c>
      <c r="O79" s="395">
        <v>232.15119486902177</v>
      </c>
      <c r="P79" s="394">
        <v>227962490.86000001</v>
      </c>
      <c r="Q79" s="394">
        <v>227962490.86000001</v>
      </c>
      <c r="R79" s="394">
        <v>255652504.94999999</v>
      </c>
      <c r="S79" s="394">
        <v>981957</v>
      </c>
      <c r="T79" s="394">
        <v>27690014.09</v>
      </c>
      <c r="U79" s="394">
        <v>-3535045.2</v>
      </c>
      <c r="V79" s="396">
        <v>3.8100000000000002E-2</v>
      </c>
      <c r="W79" s="396">
        <v>3.7999999999999999E-2</v>
      </c>
      <c r="X79" s="394">
        <v>0</v>
      </c>
      <c r="Y79" s="394">
        <v>0</v>
      </c>
      <c r="Z79" s="405">
        <v>42766</v>
      </c>
      <c r="AA79" s="368" t="s">
        <v>278</v>
      </c>
      <c r="AB79" s="397"/>
      <c r="AC79" s="405"/>
      <c r="AD79" s="405"/>
      <c r="AE79" s="405"/>
      <c r="AF79" s="368"/>
      <c r="AG79" s="405"/>
      <c r="AH79" s="368" t="s">
        <v>79</v>
      </c>
      <c r="AI79" s="368" t="s">
        <v>279</v>
      </c>
      <c r="AJ79" s="368" t="s">
        <v>79</v>
      </c>
      <c r="AK79" s="368" t="s">
        <v>79</v>
      </c>
      <c r="AL79" s="368" t="s">
        <v>64</v>
      </c>
      <c r="AM79" s="368" t="s">
        <v>210</v>
      </c>
      <c r="AN79" s="368" t="s">
        <v>280</v>
      </c>
      <c r="AO79" s="402"/>
      <c r="AP79" s="402"/>
      <c r="AQ79" s="402"/>
    </row>
    <row r="80" spans="1:43" ht="12.95" customHeight="1">
      <c r="A80" s="402" t="str">
        <f t="shared" si="1"/>
        <v>QLTEFINE092A01019</v>
      </c>
      <c r="B80" s="368" t="s">
        <v>153</v>
      </c>
      <c r="C80" s="368" t="s">
        <v>328</v>
      </c>
      <c r="D80" s="368" t="s">
        <v>339</v>
      </c>
      <c r="E80" s="368" t="s">
        <v>133</v>
      </c>
      <c r="F80" s="368" t="s">
        <v>564</v>
      </c>
      <c r="G80" s="368" t="s">
        <v>275</v>
      </c>
      <c r="H80" s="368" t="s">
        <v>276</v>
      </c>
      <c r="I80" s="394">
        <v>385281</v>
      </c>
      <c r="J80" s="394">
        <v>10</v>
      </c>
      <c r="K80" s="395">
        <v>541</v>
      </c>
      <c r="L80" s="395">
        <v>544.54999999999995</v>
      </c>
      <c r="M80" s="396">
        <v>6.5191442475438432E-3</v>
      </c>
      <c r="N80" s="368" t="s">
        <v>277</v>
      </c>
      <c r="O80" s="395">
        <v>338.49849779771131</v>
      </c>
      <c r="P80" s="394">
        <v>130417039.73</v>
      </c>
      <c r="Q80" s="394">
        <v>130417039.73</v>
      </c>
      <c r="R80" s="394">
        <v>209804768.55000001</v>
      </c>
      <c r="S80" s="394">
        <v>3852810</v>
      </c>
      <c r="T80" s="394">
        <v>79387728.819999993</v>
      </c>
      <c r="U80" s="394">
        <v>1367747.55</v>
      </c>
      <c r="V80" s="396">
        <v>3.1199999999999999E-2</v>
      </c>
      <c r="W80" s="396">
        <v>3.1199999999999999E-2</v>
      </c>
      <c r="X80" s="394">
        <v>0</v>
      </c>
      <c r="Y80" s="394">
        <v>0</v>
      </c>
      <c r="Z80" s="405">
        <v>42766</v>
      </c>
      <c r="AA80" s="368" t="s">
        <v>278</v>
      </c>
      <c r="AB80" s="397"/>
      <c r="AC80" s="405"/>
      <c r="AD80" s="405"/>
      <c r="AE80" s="405"/>
      <c r="AF80" s="368"/>
      <c r="AG80" s="405"/>
      <c r="AH80" s="368" t="s">
        <v>79</v>
      </c>
      <c r="AI80" s="368" t="s">
        <v>279</v>
      </c>
      <c r="AJ80" s="368" t="s">
        <v>79</v>
      </c>
      <c r="AK80" s="368" t="s">
        <v>79</v>
      </c>
      <c r="AL80" s="368" t="s">
        <v>96</v>
      </c>
      <c r="AM80" s="368" t="s">
        <v>489</v>
      </c>
      <c r="AN80" s="368" t="s">
        <v>280</v>
      </c>
      <c r="AO80" s="402"/>
      <c r="AP80" s="402"/>
      <c r="AQ80" s="402"/>
    </row>
    <row r="81" spans="1:43" ht="12.95" customHeight="1">
      <c r="A81" s="402" t="str">
        <f t="shared" si="1"/>
        <v>QLTEFINE467B01029</v>
      </c>
      <c r="B81" s="368" t="s">
        <v>153</v>
      </c>
      <c r="C81" s="368" t="s">
        <v>328</v>
      </c>
      <c r="D81" s="368" t="s">
        <v>315</v>
      </c>
      <c r="E81" s="368" t="s">
        <v>103</v>
      </c>
      <c r="F81" s="368" t="s">
        <v>549</v>
      </c>
      <c r="G81" s="368" t="s">
        <v>275</v>
      </c>
      <c r="H81" s="368" t="s">
        <v>276</v>
      </c>
      <c r="I81" s="394">
        <v>149719</v>
      </c>
      <c r="J81" s="394">
        <v>1</v>
      </c>
      <c r="K81" s="395">
        <v>2332.9</v>
      </c>
      <c r="L81" s="395">
        <v>2229.8000000000002</v>
      </c>
      <c r="M81" s="396">
        <v>-4.6237330702305138E-2</v>
      </c>
      <c r="N81" s="368" t="s">
        <v>277</v>
      </c>
      <c r="O81" s="395">
        <v>2065.0795158263145</v>
      </c>
      <c r="P81" s="394">
        <v>309181640.02999997</v>
      </c>
      <c r="Q81" s="394">
        <v>309181640.02999997</v>
      </c>
      <c r="R81" s="394">
        <v>333843426.19999999</v>
      </c>
      <c r="S81" s="394">
        <v>149719</v>
      </c>
      <c r="T81" s="394">
        <v>24661786.170000002</v>
      </c>
      <c r="U81" s="394">
        <v>-15436028.9</v>
      </c>
      <c r="V81" s="396">
        <v>4.9700000000000001E-2</v>
      </c>
      <c r="W81" s="396">
        <v>4.9599999999999998E-2</v>
      </c>
      <c r="X81" s="394">
        <v>0</v>
      </c>
      <c r="Y81" s="394">
        <v>0</v>
      </c>
      <c r="Z81" s="405">
        <v>42766</v>
      </c>
      <c r="AA81" s="368" t="s">
        <v>278</v>
      </c>
      <c r="AB81" s="397"/>
      <c r="AC81" s="405"/>
      <c r="AD81" s="405"/>
      <c r="AE81" s="405"/>
      <c r="AF81" s="368"/>
      <c r="AG81" s="405"/>
      <c r="AH81" s="368" t="s">
        <v>79</v>
      </c>
      <c r="AI81" s="368" t="s">
        <v>279</v>
      </c>
      <c r="AJ81" s="368" t="s">
        <v>79</v>
      </c>
      <c r="AK81" s="368" t="s">
        <v>79</v>
      </c>
      <c r="AL81" s="368" t="s">
        <v>63</v>
      </c>
      <c r="AM81" s="368" t="s">
        <v>474</v>
      </c>
      <c r="AN81" s="368" t="s">
        <v>280</v>
      </c>
      <c r="AO81" s="402"/>
      <c r="AP81" s="402"/>
      <c r="AQ81" s="402"/>
    </row>
    <row r="82" spans="1:43" ht="12.95" customHeight="1">
      <c r="A82" s="402" t="str">
        <f t="shared" si="1"/>
        <v>QLTEFINE155A01022</v>
      </c>
      <c r="B82" s="368" t="s">
        <v>153</v>
      </c>
      <c r="C82" s="368" t="s">
        <v>328</v>
      </c>
      <c r="D82" s="368" t="s">
        <v>316</v>
      </c>
      <c r="E82" s="368" t="s">
        <v>106</v>
      </c>
      <c r="F82" s="368" t="s">
        <v>550</v>
      </c>
      <c r="G82" s="368" t="s">
        <v>275</v>
      </c>
      <c r="H82" s="368" t="s">
        <v>276</v>
      </c>
      <c r="I82" s="394">
        <v>598265</v>
      </c>
      <c r="J82" s="394">
        <v>2</v>
      </c>
      <c r="K82" s="395">
        <v>532.29999999999995</v>
      </c>
      <c r="L82" s="395">
        <v>523.54999999999995</v>
      </c>
      <c r="M82" s="396">
        <v>-1.6712825900105054E-2</v>
      </c>
      <c r="N82" s="368" t="s">
        <v>277</v>
      </c>
      <c r="O82" s="395">
        <v>418.09951676932462</v>
      </c>
      <c r="P82" s="394">
        <v>250134307.40000001</v>
      </c>
      <c r="Q82" s="394">
        <v>250134307.40000001</v>
      </c>
      <c r="R82" s="394">
        <v>313221640.75</v>
      </c>
      <c r="S82" s="394">
        <v>1196530</v>
      </c>
      <c r="T82" s="394">
        <v>63087333.350000001</v>
      </c>
      <c r="U82" s="394">
        <v>-5234818.75</v>
      </c>
      <c r="V82" s="396">
        <v>4.6600000000000003E-2</v>
      </c>
      <c r="W82" s="396">
        <v>4.65E-2</v>
      </c>
      <c r="X82" s="394">
        <v>0</v>
      </c>
      <c r="Y82" s="394">
        <v>0</v>
      </c>
      <c r="Z82" s="405">
        <v>42766</v>
      </c>
      <c r="AA82" s="368" t="s">
        <v>278</v>
      </c>
      <c r="AB82" s="397"/>
      <c r="AC82" s="405"/>
      <c r="AD82" s="405"/>
      <c r="AE82" s="405"/>
      <c r="AF82" s="368"/>
      <c r="AG82" s="405"/>
      <c r="AH82" s="368" t="s">
        <v>79</v>
      </c>
      <c r="AI82" s="368" t="s">
        <v>279</v>
      </c>
      <c r="AJ82" s="368" t="s">
        <v>79</v>
      </c>
      <c r="AK82" s="368" t="s">
        <v>79</v>
      </c>
      <c r="AL82" s="368" t="s">
        <v>62</v>
      </c>
      <c r="AM82" s="368" t="s">
        <v>475</v>
      </c>
      <c r="AN82" s="368" t="s">
        <v>280</v>
      </c>
      <c r="AO82" s="402"/>
      <c r="AP82" s="402"/>
      <c r="AQ82" s="402"/>
    </row>
    <row r="83" spans="1:43" ht="12.95" customHeight="1">
      <c r="A83" s="402" t="str">
        <f t="shared" si="1"/>
        <v>QLTEFINE081A01012</v>
      </c>
      <c r="B83" s="368" t="s">
        <v>153</v>
      </c>
      <c r="C83" s="368" t="s">
        <v>328</v>
      </c>
      <c r="D83" s="368" t="s">
        <v>318</v>
      </c>
      <c r="E83" s="368" t="s">
        <v>109</v>
      </c>
      <c r="F83" s="368" t="s">
        <v>553</v>
      </c>
      <c r="G83" s="368" t="s">
        <v>275</v>
      </c>
      <c r="H83" s="368" t="s">
        <v>276</v>
      </c>
      <c r="I83" s="394">
        <v>299024</v>
      </c>
      <c r="J83" s="394">
        <v>10</v>
      </c>
      <c r="K83" s="395">
        <v>462.05</v>
      </c>
      <c r="L83" s="395">
        <v>463.05</v>
      </c>
      <c r="M83" s="396">
        <v>2.1595939963286901E-3</v>
      </c>
      <c r="N83" s="368" t="s">
        <v>277</v>
      </c>
      <c r="O83" s="395">
        <v>350.03312265905078</v>
      </c>
      <c r="P83" s="394">
        <v>104668304.47</v>
      </c>
      <c r="Q83" s="394">
        <v>104668304.47</v>
      </c>
      <c r="R83" s="394">
        <v>138463063.19999999</v>
      </c>
      <c r="S83" s="394">
        <v>2990240</v>
      </c>
      <c r="T83" s="394">
        <v>33794758.729999997</v>
      </c>
      <c r="U83" s="394">
        <v>299024</v>
      </c>
      <c r="V83" s="396">
        <v>2.06E-2</v>
      </c>
      <c r="W83" s="396">
        <v>2.06E-2</v>
      </c>
      <c r="X83" s="394">
        <v>0</v>
      </c>
      <c r="Y83" s="394">
        <v>0</v>
      </c>
      <c r="Z83" s="405">
        <v>42766</v>
      </c>
      <c r="AA83" s="368" t="s">
        <v>278</v>
      </c>
      <c r="AB83" s="397"/>
      <c r="AC83" s="405"/>
      <c r="AD83" s="405"/>
      <c r="AE83" s="405"/>
      <c r="AF83" s="368"/>
      <c r="AG83" s="405"/>
      <c r="AH83" s="368" t="s">
        <v>79</v>
      </c>
      <c r="AI83" s="368" t="s">
        <v>279</v>
      </c>
      <c r="AJ83" s="368" t="s">
        <v>79</v>
      </c>
      <c r="AK83" s="368" t="s">
        <v>79</v>
      </c>
      <c r="AL83" s="368" t="s">
        <v>72</v>
      </c>
      <c r="AM83" s="368" t="s">
        <v>477</v>
      </c>
      <c r="AN83" s="368" t="s">
        <v>280</v>
      </c>
      <c r="AO83" s="402"/>
      <c r="AP83" s="402"/>
      <c r="AQ83" s="402"/>
    </row>
    <row r="84" spans="1:43" ht="12.95" customHeight="1">
      <c r="A84" s="402" t="str">
        <f t="shared" si="1"/>
        <v>QLTEFINE075A01022</v>
      </c>
      <c r="B84" s="368" t="s">
        <v>153</v>
      </c>
      <c r="C84" s="368" t="s">
        <v>328</v>
      </c>
      <c r="D84" s="368" t="s">
        <v>322</v>
      </c>
      <c r="E84" s="368" t="s">
        <v>173</v>
      </c>
      <c r="F84" s="368" t="s">
        <v>556</v>
      </c>
      <c r="G84" s="368" t="s">
        <v>275</v>
      </c>
      <c r="H84" s="368" t="s">
        <v>276</v>
      </c>
      <c r="I84" s="394">
        <v>371842</v>
      </c>
      <c r="J84" s="394">
        <v>2</v>
      </c>
      <c r="K84" s="395">
        <v>465.75</v>
      </c>
      <c r="L84" s="395">
        <v>458</v>
      </c>
      <c r="M84" s="396">
        <v>-1.6921397379912665E-2</v>
      </c>
      <c r="N84" s="368" t="s">
        <v>277</v>
      </c>
      <c r="O84" s="395">
        <v>529.74782267737373</v>
      </c>
      <c r="P84" s="394">
        <v>196982489.88</v>
      </c>
      <c r="Q84" s="394">
        <v>196982489.88</v>
      </c>
      <c r="R84" s="394">
        <v>170303636</v>
      </c>
      <c r="S84" s="394">
        <v>743684</v>
      </c>
      <c r="T84" s="394">
        <v>-26678853.879999999</v>
      </c>
      <c r="U84" s="394">
        <v>-2881775.5</v>
      </c>
      <c r="V84" s="396">
        <v>2.5399999999999999E-2</v>
      </c>
      <c r="W84" s="396">
        <v>2.53E-2</v>
      </c>
      <c r="X84" s="394">
        <v>0</v>
      </c>
      <c r="Y84" s="394">
        <v>0</v>
      </c>
      <c r="Z84" s="405">
        <v>42766</v>
      </c>
      <c r="AA84" s="368" t="s">
        <v>278</v>
      </c>
      <c r="AB84" s="397"/>
      <c r="AC84" s="405"/>
      <c r="AD84" s="405"/>
      <c r="AE84" s="405"/>
      <c r="AF84" s="368"/>
      <c r="AG84" s="405"/>
      <c r="AH84" s="368" t="s">
        <v>79</v>
      </c>
      <c r="AI84" s="368" t="s">
        <v>279</v>
      </c>
      <c r="AJ84" s="368" t="s">
        <v>79</v>
      </c>
      <c r="AK84" s="368" t="s">
        <v>79</v>
      </c>
      <c r="AL84" s="368" t="s">
        <v>63</v>
      </c>
      <c r="AM84" s="368" t="s">
        <v>481</v>
      </c>
      <c r="AN84" s="368" t="s">
        <v>280</v>
      </c>
      <c r="AO84" s="402"/>
      <c r="AP84" s="402"/>
      <c r="AQ84" s="402"/>
    </row>
    <row r="85" spans="1:43" ht="12.95" customHeight="1">
      <c r="A85" s="402" t="str">
        <f t="shared" si="1"/>
        <v>QLTEF</v>
      </c>
      <c r="B85" s="368" t="s">
        <v>153</v>
      </c>
      <c r="C85" s="368" t="s">
        <v>328</v>
      </c>
      <c r="D85" s="273"/>
      <c r="E85" s="273"/>
      <c r="F85" s="273"/>
      <c r="G85" s="401" t="s">
        <v>325</v>
      </c>
      <c r="H85" s="273"/>
      <c r="I85" s="273"/>
      <c r="J85" s="273"/>
      <c r="K85" s="273"/>
      <c r="L85" s="273"/>
      <c r="M85" s="273"/>
      <c r="N85" s="273"/>
      <c r="O85" s="273"/>
      <c r="P85" s="274">
        <v>4681010268.9099998</v>
      </c>
      <c r="Q85" s="370">
        <v>4681010268.9099998</v>
      </c>
      <c r="R85" s="370">
        <v>5931471896.25</v>
      </c>
      <c r="S85" s="273"/>
      <c r="T85" s="370">
        <v>1250461627.3399999</v>
      </c>
      <c r="U85" s="370">
        <v>-71148455.150000006</v>
      </c>
      <c r="V85" s="371">
        <v>0.88319999999999999</v>
      </c>
      <c r="W85" s="371">
        <v>0.88119999999999998</v>
      </c>
      <c r="X85" s="370">
        <v>0</v>
      </c>
      <c r="Y85" s="370">
        <v>0</v>
      </c>
      <c r="Z85" s="273"/>
      <c r="AA85" s="273"/>
      <c r="AB85" s="273"/>
      <c r="AC85" s="273"/>
      <c r="AD85" s="273"/>
      <c r="AE85" s="273"/>
      <c r="AF85" s="273"/>
      <c r="AG85" s="273"/>
      <c r="AH85" s="273"/>
      <c r="AI85" s="273"/>
      <c r="AJ85" s="273"/>
      <c r="AK85" s="273"/>
      <c r="AL85" s="273"/>
      <c r="AM85" s="273"/>
      <c r="AN85" s="273"/>
      <c r="AO85" s="402"/>
      <c r="AP85" s="402"/>
      <c r="AQ85" s="402"/>
    </row>
    <row r="86" spans="1:43" ht="12.95" customHeight="1">
      <c r="A86" s="402" t="str">
        <f t="shared" si="1"/>
        <v>QLTEFIN002016Z129</v>
      </c>
      <c r="B86" s="368" t="s">
        <v>153</v>
      </c>
      <c r="C86" s="368" t="s">
        <v>328</v>
      </c>
      <c r="D86" s="368" t="s">
        <v>579</v>
      </c>
      <c r="E86" s="368" t="s">
        <v>580</v>
      </c>
      <c r="F86" s="368" t="s">
        <v>581</v>
      </c>
      <c r="G86" s="368" t="s">
        <v>340</v>
      </c>
      <c r="H86" s="368" t="s">
        <v>341</v>
      </c>
      <c r="I86" s="394">
        <v>50000</v>
      </c>
      <c r="J86" s="394">
        <v>100</v>
      </c>
      <c r="K86" s="395">
        <v>96.311700000000002</v>
      </c>
      <c r="L86" s="395">
        <v>96.327399999999997</v>
      </c>
      <c r="M86" s="396">
        <v>1.6298581711953193E-4</v>
      </c>
      <c r="N86" s="368" t="s">
        <v>277</v>
      </c>
      <c r="O86" s="395">
        <v>95.449650000000005</v>
      </c>
      <c r="P86" s="394">
        <v>4772482.5</v>
      </c>
      <c r="Q86" s="394">
        <v>4826469.88</v>
      </c>
      <c r="R86" s="394">
        <v>4816370</v>
      </c>
      <c r="S86" s="394">
        <v>5000000</v>
      </c>
      <c r="T86" s="394">
        <v>-10099.879999999999</v>
      </c>
      <c r="U86" s="394">
        <v>13.75</v>
      </c>
      <c r="V86" s="396">
        <v>6.9999999999999999E-4</v>
      </c>
      <c r="W86" s="396">
        <v>6.9999999999999999E-4</v>
      </c>
      <c r="X86" s="394">
        <v>0</v>
      </c>
      <c r="Y86" s="394">
        <v>53987.38</v>
      </c>
      <c r="Z86" s="405">
        <v>42766</v>
      </c>
      <c r="AA86" s="368" t="s">
        <v>342</v>
      </c>
      <c r="AB86" s="397"/>
      <c r="AC86" s="405"/>
      <c r="AD86" s="405">
        <v>42992</v>
      </c>
      <c r="AE86" s="405">
        <v>42992</v>
      </c>
      <c r="AF86" s="368">
        <v>226</v>
      </c>
      <c r="AG86" s="405">
        <v>42992</v>
      </c>
      <c r="AH86" s="368" t="s">
        <v>330</v>
      </c>
      <c r="AI86" s="368" t="s">
        <v>279</v>
      </c>
      <c r="AJ86" s="368" t="s">
        <v>79</v>
      </c>
      <c r="AK86" s="368" t="s">
        <v>79</v>
      </c>
      <c r="AL86" s="368" t="s">
        <v>343</v>
      </c>
      <c r="AM86" s="368" t="s">
        <v>343</v>
      </c>
      <c r="AN86" s="368" t="s">
        <v>280</v>
      </c>
      <c r="AO86" s="402"/>
      <c r="AP86" s="402"/>
      <c r="AQ86" s="402"/>
    </row>
    <row r="87" spans="1:43" ht="12.95" customHeight="1">
      <c r="A87" s="402" t="str">
        <f t="shared" si="1"/>
        <v>QLTEF</v>
      </c>
      <c r="B87" s="368" t="s">
        <v>153</v>
      </c>
      <c r="C87" s="368" t="s">
        <v>328</v>
      </c>
      <c r="D87" s="273"/>
      <c r="E87" s="273"/>
      <c r="F87" s="273"/>
      <c r="G87" s="401" t="s">
        <v>344</v>
      </c>
      <c r="H87" s="273"/>
      <c r="I87" s="273"/>
      <c r="J87" s="273"/>
      <c r="K87" s="273"/>
      <c r="L87" s="273"/>
      <c r="M87" s="273"/>
      <c r="N87" s="273"/>
      <c r="O87" s="273"/>
      <c r="P87" s="274">
        <v>4772482.5</v>
      </c>
      <c r="Q87" s="370">
        <v>4826469.88</v>
      </c>
      <c r="R87" s="370">
        <v>4816370</v>
      </c>
      <c r="S87" s="273"/>
      <c r="T87" s="370">
        <v>-10099.879999999999</v>
      </c>
      <c r="U87" s="370">
        <v>13.75</v>
      </c>
      <c r="V87" s="371">
        <v>6.9999999999999999E-4</v>
      </c>
      <c r="W87" s="371">
        <v>6.9999999999999999E-4</v>
      </c>
      <c r="X87" s="370">
        <v>0</v>
      </c>
      <c r="Y87" s="370">
        <v>53987.38</v>
      </c>
      <c r="Z87" s="273"/>
      <c r="AA87" s="273"/>
      <c r="AB87" s="273"/>
      <c r="AC87" s="273"/>
      <c r="AD87" s="273"/>
      <c r="AE87" s="273"/>
      <c r="AF87" s="273"/>
      <c r="AG87" s="273"/>
      <c r="AH87" s="273"/>
      <c r="AI87" s="273"/>
      <c r="AJ87" s="273"/>
      <c r="AK87" s="273"/>
      <c r="AL87" s="273"/>
      <c r="AM87" s="273"/>
      <c r="AN87" s="273"/>
      <c r="AO87" s="402"/>
      <c r="AP87" s="402"/>
      <c r="AQ87" s="402"/>
    </row>
    <row r="88" spans="1:43" ht="12.95" customHeight="1">
      <c r="A88" s="402" t="str">
        <f t="shared" si="1"/>
        <v>QLTEFCash &amp; Cash Equivalent:</v>
      </c>
      <c r="B88" s="368" t="s">
        <v>153</v>
      </c>
      <c r="C88" s="368" t="s">
        <v>328</v>
      </c>
      <c r="D88" s="401" t="s">
        <v>326</v>
      </c>
      <c r="E88" s="401" t="s">
        <v>326</v>
      </c>
      <c r="F88" s="401" t="s">
        <v>326</v>
      </c>
      <c r="G88" s="273"/>
      <c r="H88" s="273"/>
      <c r="I88" s="273"/>
      <c r="J88" s="273"/>
      <c r="K88" s="273"/>
      <c r="L88" s="273"/>
      <c r="M88" s="273"/>
      <c r="N88" s="273"/>
      <c r="O88" s="273"/>
      <c r="P88" s="273"/>
      <c r="Q88" s="273"/>
      <c r="R88" s="370">
        <v>-16173064.9020922</v>
      </c>
      <c r="S88" s="273"/>
      <c r="T88" s="273"/>
      <c r="U88" s="273"/>
      <c r="V88" s="371">
        <v>-2.3E-3</v>
      </c>
      <c r="W88" s="273"/>
      <c r="X88" s="273"/>
      <c r="Y88" s="273"/>
      <c r="Z88" s="273"/>
      <c r="AA88" s="273"/>
      <c r="AB88" s="273"/>
      <c r="AC88" s="273"/>
      <c r="AD88" s="273"/>
      <c r="AE88" s="273"/>
      <c r="AF88" s="273"/>
      <c r="AG88" s="273"/>
      <c r="AH88" s="273"/>
      <c r="AI88" s="273"/>
      <c r="AJ88" s="273"/>
      <c r="AK88" s="273"/>
      <c r="AL88" s="273"/>
      <c r="AM88" s="273"/>
      <c r="AN88" s="273"/>
      <c r="AO88" s="402"/>
      <c r="AP88" s="402"/>
      <c r="AQ88" s="402"/>
    </row>
    <row r="89" spans="1:43" ht="12.95" customHeight="1">
      <c r="A89" s="402" t="str">
        <f t="shared" si="1"/>
        <v>QLTEFNet Asset:</v>
      </c>
      <c r="B89" s="368" t="s">
        <v>153</v>
      </c>
      <c r="C89" s="368" t="s">
        <v>328</v>
      </c>
      <c r="D89" s="401" t="s">
        <v>327</v>
      </c>
      <c r="E89" s="401" t="s">
        <v>327</v>
      </c>
      <c r="F89" s="401" t="s">
        <v>327</v>
      </c>
      <c r="G89" s="273"/>
      <c r="H89" s="273"/>
      <c r="I89" s="273"/>
      <c r="J89" s="273"/>
      <c r="K89" s="273"/>
      <c r="L89" s="273"/>
      <c r="M89" s="273"/>
      <c r="N89" s="273"/>
      <c r="O89" s="273"/>
      <c r="P89" s="273"/>
      <c r="Q89" s="273"/>
      <c r="R89" s="370">
        <v>6715432046.8379078</v>
      </c>
      <c r="S89" s="273"/>
      <c r="T89" s="273"/>
      <c r="U89" s="273"/>
      <c r="V89" s="371">
        <v>1</v>
      </c>
      <c r="W89" s="273"/>
      <c r="X89" s="273"/>
      <c r="Y89" s="273"/>
      <c r="Z89" s="273"/>
      <c r="AA89" s="273"/>
      <c r="AB89" s="273"/>
      <c r="AC89" s="273"/>
      <c r="AD89" s="273"/>
      <c r="AE89" s="273"/>
      <c r="AF89" s="273"/>
      <c r="AG89" s="273"/>
      <c r="AH89" s="273"/>
      <c r="AI89" s="273"/>
      <c r="AJ89" s="273"/>
      <c r="AK89" s="273"/>
      <c r="AL89" s="273"/>
      <c r="AM89" s="273"/>
      <c r="AN89" s="273"/>
      <c r="AO89" s="402"/>
      <c r="AP89" s="402"/>
      <c r="AQ89" s="402"/>
    </row>
    <row r="90" spans="1:43" ht="12.95" customHeight="1">
      <c r="A90" s="402" t="str">
        <f t="shared" si="1"/>
        <v/>
      </c>
      <c r="B90" s="275" t="s">
        <v>79</v>
      </c>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402"/>
      <c r="AP90" s="402"/>
      <c r="AQ90" s="402"/>
    </row>
    <row r="91" spans="1:43" ht="12.95" customHeight="1">
      <c r="A91" s="402" t="str">
        <f t="shared" si="1"/>
        <v>QTSFCBL_010217</v>
      </c>
      <c r="B91" s="368" t="s">
        <v>160</v>
      </c>
      <c r="C91" s="368" t="s">
        <v>345</v>
      </c>
      <c r="D91" s="368" t="s">
        <v>607</v>
      </c>
      <c r="E91" s="368" t="s">
        <v>607</v>
      </c>
      <c r="F91" s="368" t="s">
        <v>607</v>
      </c>
      <c r="G91" s="368" t="s">
        <v>329</v>
      </c>
      <c r="H91" s="368" t="s">
        <v>329</v>
      </c>
      <c r="I91" s="394">
        <v>586320</v>
      </c>
      <c r="J91" s="394">
        <v>100</v>
      </c>
      <c r="K91" s="395">
        <v>0</v>
      </c>
      <c r="L91" s="395">
        <v>100</v>
      </c>
      <c r="M91" s="396">
        <v>1</v>
      </c>
      <c r="N91" s="368" t="s">
        <v>277</v>
      </c>
      <c r="O91" s="395">
        <v>99.983065322690678</v>
      </c>
      <c r="P91" s="394">
        <v>58622070.859999999</v>
      </c>
      <c r="Q91" s="394">
        <v>58632000</v>
      </c>
      <c r="R91" s="394">
        <v>58632000</v>
      </c>
      <c r="S91" s="394">
        <v>58632000</v>
      </c>
      <c r="T91" s="394">
        <v>0</v>
      </c>
      <c r="U91" s="394">
        <v>0</v>
      </c>
      <c r="V91" s="396">
        <v>0.1082</v>
      </c>
      <c r="W91" s="396">
        <v>0.1082</v>
      </c>
      <c r="X91" s="394">
        <v>0</v>
      </c>
      <c r="Y91" s="394">
        <v>9929.14</v>
      </c>
      <c r="Z91" s="405">
        <v>42766</v>
      </c>
      <c r="AA91" s="368" t="s">
        <v>278</v>
      </c>
      <c r="AB91" s="397"/>
      <c r="AC91" s="405"/>
      <c r="AD91" s="405">
        <v>42767</v>
      </c>
      <c r="AE91" s="405">
        <v>42767</v>
      </c>
      <c r="AF91" s="368">
        <v>1</v>
      </c>
      <c r="AG91" s="405">
        <v>42767</v>
      </c>
      <c r="AH91" s="368" t="s">
        <v>330</v>
      </c>
      <c r="AI91" s="368" t="s">
        <v>331</v>
      </c>
      <c r="AJ91" s="368" t="s">
        <v>79</v>
      </c>
      <c r="AK91" s="368" t="s">
        <v>79</v>
      </c>
      <c r="AL91" s="368" t="s">
        <v>510</v>
      </c>
      <c r="AM91" s="368" t="s">
        <v>332</v>
      </c>
      <c r="AN91" s="368" t="s">
        <v>280</v>
      </c>
      <c r="AO91" s="402"/>
      <c r="AP91" s="402"/>
      <c r="AQ91" s="402"/>
    </row>
    <row r="92" spans="1:43" ht="12.95" customHeight="1">
      <c r="A92" s="402" t="str">
        <f t="shared" si="1"/>
        <v>QTSF</v>
      </c>
      <c r="B92" s="368" t="s">
        <v>160</v>
      </c>
      <c r="C92" s="368" t="s">
        <v>345</v>
      </c>
      <c r="D92" s="273"/>
      <c r="E92" s="273"/>
      <c r="F92" s="273"/>
      <c r="G92" s="401" t="s">
        <v>333</v>
      </c>
      <c r="H92" s="273"/>
      <c r="I92" s="273"/>
      <c r="J92" s="273"/>
      <c r="K92" s="273"/>
      <c r="L92" s="273"/>
      <c r="M92" s="273"/>
      <c r="N92" s="273"/>
      <c r="O92" s="273"/>
      <c r="P92" s="274">
        <v>58622070.859999999</v>
      </c>
      <c r="Q92" s="370">
        <v>58632000</v>
      </c>
      <c r="R92" s="370">
        <v>58632000</v>
      </c>
      <c r="S92" s="273"/>
      <c r="T92" s="370">
        <v>0</v>
      </c>
      <c r="U92" s="370">
        <v>0</v>
      </c>
      <c r="V92" s="371">
        <v>0.1082</v>
      </c>
      <c r="W92" s="371">
        <v>0.1082</v>
      </c>
      <c r="X92" s="370">
        <v>0</v>
      </c>
      <c r="Y92" s="370">
        <v>9929.14</v>
      </c>
      <c r="Z92" s="273"/>
      <c r="AA92" s="273"/>
      <c r="AB92" s="273"/>
      <c r="AC92" s="273"/>
      <c r="AD92" s="273"/>
      <c r="AE92" s="273"/>
      <c r="AF92" s="273"/>
      <c r="AG92" s="273"/>
      <c r="AH92" s="273"/>
      <c r="AI92" s="273"/>
      <c r="AJ92" s="273"/>
      <c r="AK92" s="273"/>
      <c r="AL92" s="273"/>
      <c r="AM92" s="273"/>
      <c r="AN92" s="273"/>
      <c r="AO92" s="402"/>
      <c r="AP92" s="402"/>
      <c r="AQ92" s="402"/>
    </row>
    <row r="93" spans="1:43" ht="12.95" customHeight="1">
      <c r="A93" s="402" t="str">
        <f t="shared" si="1"/>
        <v>QTSFINE917I01010</v>
      </c>
      <c r="B93" s="368" t="s">
        <v>160</v>
      </c>
      <c r="C93" s="368" t="s">
        <v>345</v>
      </c>
      <c r="D93" s="368" t="s">
        <v>282</v>
      </c>
      <c r="E93" s="368" t="s">
        <v>111</v>
      </c>
      <c r="F93" s="368" t="s">
        <v>514</v>
      </c>
      <c r="G93" s="368" t="s">
        <v>275</v>
      </c>
      <c r="H93" s="368" t="s">
        <v>276</v>
      </c>
      <c r="I93" s="394">
        <v>13395</v>
      </c>
      <c r="J93" s="394">
        <v>10</v>
      </c>
      <c r="K93" s="395">
        <v>2825.05</v>
      </c>
      <c r="L93" s="395">
        <v>2833.45</v>
      </c>
      <c r="M93" s="396">
        <v>2.9645838112548305E-3</v>
      </c>
      <c r="N93" s="368" t="s">
        <v>277</v>
      </c>
      <c r="O93" s="395">
        <v>2034.7093310936916</v>
      </c>
      <c r="P93" s="394">
        <v>27254931.489999998</v>
      </c>
      <c r="Q93" s="394">
        <v>27254931.489999998</v>
      </c>
      <c r="R93" s="394">
        <v>37954062.75</v>
      </c>
      <c r="S93" s="394">
        <v>133950</v>
      </c>
      <c r="T93" s="394">
        <v>10699131.26</v>
      </c>
      <c r="U93" s="394">
        <v>112518</v>
      </c>
      <c r="V93" s="396">
        <v>7.0099999999999996E-2</v>
      </c>
      <c r="W93" s="396">
        <v>7.0000000000000007E-2</v>
      </c>
      <c r="X93" s="394">
        <v>0</v>
      </c>
      <c r="Y93" s="394">
        <v>0</v>
      </c>
      <c r="Z93" s="405">
        <v>42766</v>
      </c>
      <c r="AA93" s="368" t="s">
        <v>278</v>
      </c>
      <c r="AB93" s="397"/>
      <c r="AC93" s="405"/>
      <c r="AD93" s="405"/>
      <c r="AE93" s="405"/>
      <c r="AF93" s="368"/>
      <c r="AG93" s="405"/>
      <c r="AH93" s="368" t="s">
        <v>79</v>
      </c>
      <c r="AI93" s="368" t="s">
        <v>279</v>
      </c>
      <c r="AJ93" s="368" t="s">
        <v>79</v>
      </c>
      <c r="AK93" s="368" t="s">
        <v>79</v>
      </c>
      <c r="AL93" s="368" t="s">
        <v>62</v>
      </c>
      <c r="AM93" s="368" t="s">
        <v>441</v>
      </c>
      <c r="AN93" s="368" t="s">
        <v>280</v>
      </c>
      <c r="AO93" s="402"/>
      <c r="AP93" s="402"/>
      <c r="AQ93" s="402"/>
    </row>
    <row r="94" spans="1:43" ht="12.95" customHeight="1">
      <c r="A94" s="402" t="str">
        <f t="shared" si="1"/>
        <v>QTSFINE397D01024</v>
      </c>
      <c r="B94" s="368" t="s">
        <v>160</v>
      </c>
      <c r="C94" s="368" t="s">
        <v>345</v>
      </c>
      <c r="D94" s="368" t="s">
        <v>287</v>
      </c>
      <c r="E94" s="368" t="s">
        <v>108</v>
      </c>
      <c r="F94" s="368" t="s">
        <v>519</v>
      </c>
      <c r="G94" s="368" t="s">
        <v>275</v>
      </c>
      <c r="H94" s="368" t="s">
        <v>276</v>
      </c>
      <c r="I94" s="394">
        <v>41342</v>
      </c>
      <c r="J94" s="394">
        <v>5</v>
      </c>
      <c r="K94" s="395">
        <v>345.65</v>
      </c>
      <c r="L94" s="395">
        <v>348.2</v>
      </c>
      <c r="M94" s="396">
        <v>7.3233773693279726E-3</v>
      </c>
      <c r="N94" s="368" t="s">
        <v>277</v>
      </c>
      <c r="O94" s="395">
        <v>333.04999419476559</v>
      </c>
      <c r="P94" s="394">
        <v>13768952.859999999</v>
      </c>
      <c r="Q94" s="394">
        <v>13768952.859999999</v>
      </c>
      <c r="R94" s="394">
        <v>14395284.4</v>
      </c>
      <c r="S94" s="394">
        <v>206710</v>
      </c>
      <c r="T94" s="394">
        <v>626331.54</v>
      </c>
      <c r="U94" s="394">
        <v>105422.1</v>
      </c>
      <c r="V94" s="396">
        <v>2.6599999999999999E-2</v>
      </c>
      <c r="W94" s="396">
        <v>2.6599999999999999E-2</v>
      </c>
      <c r="X94" s="394">
        <v>0</v>
      </c>
      <c r="Y94" s="394">
        <v>0</v>
      </c>
      <c r="Z94" s="405">
        <v>42766</v>
      </c>
      <c r="AA94" s="368" t="s">
        <v>278</v>
      </c>
      <c r="AB94" s="397"/>
      <c r="AC94" s="405"/>
      <c r="AD94" s="405"/>
      <c r="AE94" s="405"/>
      <c r="AF94" s="368"/>
      <c r="AG94" s="405"/>
      <c r="AH94" s="368" t="s">
        <v>79</v>
      </c>
      <c r="AI94" s="368" t="s">
        <v>279</v>
      </c>
      <c r="AJ94" s="368" t="s">
        <v>79</v>
      </c>
      <c r="AK94" s="368" t="s">
        <v>79</v>
      </c>
      <c r="AL94" s="368" t="s">
        <v>73</v>
      </c>
      <c r="AM94" s="368" t="s">
        <v>445</v>
      </c>
      <c r="AN94" s="368" t="s">
        <v>280</v>
      </c>
      <c r="AO94" s="402"/>
      <c r="AP94" s="402"/>
      <c r="AQ94" s="402"/>
    </row>
    <row r="95" spans="1:43" ht="12.95" customHeight="1">
      <c r="A95" s="402" t="str">
        <f t="shared" si="1"/>
        <v>QTSFINE302A01020</v>
      </c>
      <c r="B95" s="368" t="s">
        <v>160</v>
      </c>
      <c r="C95" s="368" t="s">
        <v>345</v>
      </c>
      <c r="D95" s="368" t="s">
        <v>334</v>
      </c>
      <c r="E95" s="368" t="s">
        <v>180</v>
      </c>
      <c r="F95" s="368" t="s">
        <v>559</v>
      </c>
      <c r="G95" s="368" t="s">
        <v>275</v>
      </c>
      <c r="H95" s="368" t="s">
        <v>276</v>
      </c>
      <c r="I95" s="394">
        <v>97127</v>
      </c>
      <c r="J95" s="394">
        <v>1</v>
      </c>
      <c r="K95" s="395">
        <v>202.6</v>
      </c>
      <c r="L95" s="395">
        <v>197.3</v>
      </c>
      <c r="M95" s="396">
        <v>-2.6862645717181957E-2</v>
      </c>
      <c r="N95" s="368" t="s">
        <v>277</v>
      </c>
      <c r="O95" s="395">
        <v>143.50111627045004</v>
      </c>
      <c r="P95" s="394">
        <v>13937832.92</v>
      </c>
      <c r="Q95" s="394">
        <v>13937832.92</v>
      </c>
      <c r="R95" s="394">
        <v>19163157.100000001</v>
      </c>
      <c r="S95" s="394">
        <v>97127</v>
      </c>
      <c r="T95" s="394">
        <v>5225324.18</v>
      </c>
      <c r="U95" s="394">
        <v>-514773.1</v>
      </c>
      <c r="V95" s="396">
        <v>3.5400000000000001E-2</v>
      </c>
      <c r="W95" s="396">
        <v>3.5400000000000001E-2</v>
      </c>
      <c r="X95" s="394">
        <v>0</v>
      </c>
      <c r="Y95" s="394">
        <v>0</v>
      </c>
      <c r="Z95" s="405">
        <v>42766</v>
      </c>
      <c r="AA95" s="368" t="s">
        <v>278</v>
      </c>
      <c r="AB95" s="397"/>
      <c r="AC95" s="405"/>
      <c r="AD95" s="405"/>
      <c r="AE95" s="405"/>
      <c r="AF95" s="368"/>
      <c r="AG95" s="405"/>
      <c r="AH95" s="368" t="s">
        <v>79</v>
      </c>
      <c r="AI95" s="368" t="s">
        <v>279</v>
      </c>
      <c r="AJ95" s="368" t="s">
        <v>79</v>
      </c>
      <c r="AK95" s="368" t="s">
        <v>79</v>
      </c>
      <c r="AL95" s="368" t="s">
        <v>179</v>
      </c>
      <c r="AM95" s="368" t="s">
        <v>484</v>
      </c>
      <c r="AN95" s="368" t="s">
        <v>280</v>
      </c>
      <c r="AO95" s="402"/>
      <c r="AP95" s="402"/>
      <c r="AQ95" s="402"/>
    </row>
    <row r="96" spans="1:43" ht="12.95" customHeight="1">
      <c r="A96" s="402" t="str">
        <f t="shared" si="1"/>
        <v>QTSFINE059A01026</v>
      </c>
      <c r="B96" s="368" t="s">
        <v>160</v>
      </c>
      <c r="C96" s="368" t="s">
        <v>345</v>
      </c>
      <c r="D96" s="368" t="s">
        <v>288</v>
      </c>
      <c r="E96" s="368" t="s">
        <v>117</v>
      </c>
      <c r="F96" s="368" t="s">
        <v>520</v>
      </c>
      <c r="G96" s="368" t="s">
        <v>275</v>
      </c>
      <c r="H96" s="368" t="s">
        <v>276</v>
      </c>
      <c r="I96" s="394">
        <v>29918</v>
      </c>
      <c r="J96" s="394">
        <v>2</v>
      </c>
      <c r="K96" s="395">
        <v>582.25</v>
      </c>
      <c r="L96" s="395">
        <v>575.35</v>
      </c>
      <c r="M96" s="396">
        <v>-1.1992700095593986E-2</v>
      </c>
      <c r="N96" s="368" t="s">
        <v>277</v>
      </c>
      <c r="O96" s="395">
        <v>521.4734437462397</v>
      </c>
      <c r="P96" s="394">
        <v>15601442.49</v>
      </c>
      <c r="Q96" s="394">
        <v>15601442.49</v>
      </c>
      <c r="R96" s="394">
        <v>17213321.300000001</v>
      </c>
      <c r="S96" s="394">
        <v>59836</v>
      </c>
      <c r="T96" s="394">
        <v>1611878.81</v>
      </c>
      <c r="U96" s="394">
        <v>-206434.2</v>
      </c>
      <c r="V96" s="396">
        <v>3.1800000000000002E-2</v>
      </c>
      <c r="W96" s="396">
        <v>3.1800000000000002E-2</v>
      </c>
      <c r="X96" s="394">
        <v>0</v>
      </c>
      <c r="Y96" s="394">
        <v>0</v>
      </c>
      <c r="Z96" s="405">
        <v>42766</v>
      </c>
      <c r="AA96" s="368" t="s">
        <v>278</v>
      </c>
      <c r="AB96" s="397"/>
      <c r="AC96" s="405"/>
      <c r="AD96" s="405"/>
      <c r="AE96" s="405"/>
      <c r="AF96" s="368"/>
      <c r="AG96" s="405"/>
      <c r="AH96" s="368" t="s">
        <v>79</v>
      </c>
      <c r="AI96" s="368" t="s">
        <v>279</v>
      </c>
      <c r="AJ96" s="368" t="s">
        <v>79</v>
      </c>
      <c r="AK96" s="368" t="s">
        <v>79</v>
      </c>
      <c r="AL96" s="368" t="s">
        <v>75</v>
      </c>
      <c r="AM96" s="368" t="s">
        <v>446</v>
      </c>
      <c r="AN96" s="368" t="s">
        <v>280</v>
      </c>
      <c r="AO96" s="402"/>
      <c r="AP96" s="402"/>
      <c r="AQ96" s="402"/>
    </row>
    <row r="97" spans="1:43" ht="12.95" customHeight="1">
      <c r="A97" s="402" t="str">
        <f t="shared" si="1"/>
        <v>QTSFINE129A01019</v>
      </c>
      <c r="B97" s="368" t="s">
        <v>160</v>
      </c>
      <c r="C97" s="368" t="s">
        <v>345</v>
      </c>
      <c r="D97" s="368" t="s">
        <v>291</v>
      </c>
      <c r="E97" s="368" t="s">
        <v>122</v>
      </c>
      <c r="F97" s="368" t="s">
        <v>524</v>
      </c>
      <c r="G97" s="368" t="s">
        <v>275</v>
      </c>
      <c r="H97" s="368" t="s">
        <v>276</v>
      </c>
      <c r="I97" s="394">
        <v>34674</v>
      </c>
      <c r="J97" s="394">
        <v>10</v>
      </c>
      <c r="K97" s="395">
        <v>483.85</v>
      </c>
      <c r="L97" s="395">
        <v>468.15</v>
      </c>
      <c r="M97" s="396">
        <v>-3.353625974580797E-2</v>
      </c>
      <c r="N97" s="368" t="s">
        <v>277</v>
      </c>
      <c r="O97" s="395">
        <v>370.41048537809309</v>
      </c>
      <c r="P97" s="394">
        <v>12843613.17</v>
      </c>
      <c r="Q97" s="394">
        <v>12843613.17</v>
      </c>
      <c r="R97" s="394">
        <v>16232633.1</v>
      </c>
      <c r="S97" s="394">
        <v>346740</v>
      </c>
      <c r="T97" s="394">
        <v>3389019.93</v>
      </c>
      <c r="U97" s="394">
        <v>-544381.80000000005</v>
      </c>
      <c r="V97" s="396">
        <v>0.03</v>
      </c>
      <c r="W97" s="396">
        <v>2.9899999999999999E-2</v>
      </c>
      <c r="X97" s="394">
        <v>0</v>
      </c>
      <c r="Y97" s="394">
        <v>0</v>
      </c>
      <c r="Z97" s="405">
        <v>42766</v>
      </c>
      <c r="AA97" s="368" t="s">
        <v>278</v>
      </c>
      <c r="AB97" s="397"/>
      <c r="AC97" s="405"/>
      <c r="AD97" s="405"/>
      <c r="AE97" s="405"/>
      <c r="AF97" s="368"/>
      <c r="AG97" s="405"/>
      <c r="AH97" s="368" t="s">
        <v>79</v>
      </c>
      <c r="AI97" s="368" t="s">
        <v>279</v>
      </c>
      <c r="AJ97" s="368" t="s">
        <v>79</v>
      </c>
      <c r="AK97" s="368" t="s">
        <v>79</v>
      </c>
      <c r="AL97" s="368" t="s">
        <v>76</v>
      </c>
      <c r="AM97" s="368" t="s">
        <v>449</v>
      </c>
      <c r="AN97" s="368" t="s">
        <v>280</v>
      </c>
      <c r="AO97" s="402"/>
      <c r="AP97" s="402"/>
      <c r="AQ97" s="402"/>
    </row>
    <row r="98" spans="1:43" ht="12.95" customHeight="1">
      <c r="A98" s="402" t="str">
        <f t="shared" si="1"/>
        <v>QTSFINE001A01036</v>
      </c>
      <c r="B98" s="368" t="s">
        <v>160</v>
      </c>
      <c r="C98" s="368" t="s">
        <v>345</v>
      </c>
      <c r="D98" s="368" t="s">
        <v>295</v>
      </c>
      <c r="E98" s="368" t="s">
        <v>100</v>
      </c>
      <c r="F98" s="368" t="s">
        <v>529</v>
      </c>
      <c r="G98" s="368" t="s">
        <v>275</v>
      </c>
      <c r="H98" s="368" t="s">
        <v>276</v>
      </c>
      <c r="I98" s="394">
        <v>25409</v>
      </c>
      <c r="J98" s="394">
        <v>2</v>
      </c>
      <c r="K98" s="395">
        <v>1371.9</v>
      </c>
      <c r="L98" s="395">
        <v>1365.85</v>
      </c>
      <c r="M98" s="396">
        <v>-4.4294761503825457E-3</v>
      </c>
      <c r="N98" s="368" t="s">
        <v>277</v>
      </c>
      <c r="O98" s="395">
        <v>942.2846164744775</v>
      </c>
      <c r="P98" s="394">
        <v>23942509.82</v>
      </c>
      <c r="Q98" s="394">
        <v>23942509.82</v>
      </c>
      <c r="R98" s="394">
        <v>34704882.649999999</v>
      </c>
      <c r="S98" s="394">
        <v>50818</v>
      </c>
      <c r="T98" s="394">
        <v>10762372.83</v>
      </c>
      <c r="U98" s="394">
        <v>-153724.45000000001</v>
      </c>
      <c r="V98" s="396">
        <v>6.4100000000000004E-2</v>
      </c>
      <c r="W98" s="396">
        <v>6.4000000000000001E-2</v>
      </c>
      <c r="X98" s="394">
        <v>0</v>
      </c>
      <c r="Y98" s="394">
        <v>0</v>
      </c>
      <c r="Z98" s="405">
        <v>42766</v>
      </c>
      <c r="AA98" s="368" t="s">
        <v>278</v>
      </c>
      <c r="AB98" s="397"/>
      <c r="AC98" s="405"/>
      <c r="AD98" s="405"/>
      <c r="AE98" s="405"/>
      <c r="AF98" s="368"/>
      <c r="AG98" s="405"/>
      <c r="AH98" s="368" t="s">
        <v>79</v>
      </c>
      <c r="AI98" s="368" t="s">
        <v>279</v>
      </c>
      <c r="AJ98" s="368" t="s">
        <v>79</v>
      </c>
      <c r="AK98" s="368" t="s">
        <v>79</v>
      </c>
      <c r="AL98" s="368" t="s">
        <v>65</v>
      </c>
      <c r="AM98" s="368" t="s">
        <v>454</v>
      </c>
      <c r="AN98" s="368" t="s">
        <v>280</v>
      </c>
      <c r="AO98" s="402"/>
      <c r="AP98" s="402"/>
      <c r="AQ98" s="402"/>
    </row>
    <row r="99" spans="1:43" ht="12.95" customHeight="1">
      <c r="A99" s="402" t="str">
        <f t="shared" si="1"/>
        <v>QTSFINE158A01026</v>
      </c>
      <c r="B99" s="368" t="s">
        <v>160</v>
      </c>
      <c r="C99" s="368" t="s">
        <v>345</v>
      </c>
      <c r="D99" s="368" t="s">
        <v>296</v>
      </c>
      <c r="E99" s="368" t="s">
        <v>120</v>
      </c>
      <c r="F99" s="368" t="s">
        <v>530</v>
      </c>
      <c r="G99" s="368" t="s">
        <v>275</v>
      </c>
      <c r="H99" s="368" t="s">
        <v>276</v>
      </c>
      <c r="I99" s="394">
        <v>10634</v>
      </c>
      <c r="J99" s="394">
        <v>2</v>
      </c>
      <c r="K99" s="395">
        <v>3194.7</v>
      </c>
      <c r="L99" s="395">
        <v>3172.35</v>
      </c>
      <c r="M99" s="396">
        <v>-7.0452503664475861E-3</v>
      </c>
      <c r="N99" s="368" t="s">
        <v>277</v>
      </c>
      <c r="O99" s="395">
        <v>2314.7603131465112</v>
      </c>
      <c r="P99" s="394">
        <v>24615161.170000002</v>
      </c>
      <c r="Q99" s="394">
        <v>24615161.170000002</v>
      </c>
      <c r="R99" s="394">
        <v>33734769.899999999</v>
      </c>
      <c r="S99" s="394">
        <v>21268</v>
      </c>
      <c r="T99" s="394">
        <v>9119608.7300000004</v>
      </c>
      <c r="U99" s="394">
        <v>-237669.9</v>
      </c>
      <c r="V99" s="396">
        <v>6.2300000000000001E-2</v>
      </c>
      <c r="W99" s="396">
        <v>6.2199999999999998E-2</v>
      </c>
      <c r="X99" s="394">
        <v>0</v>
      </c>
      <c r="Y99" s="394">
        <v>0</v>
      </c>
      <c r="Z99" s="405">
        <v>42766</v>
      </c>
      <c r="AA99" s="368" t="s">
        <v>278</v>
      </c>
      <c r="AB99" s="397"/>
      <c r="AC99" s="405"/>
      <c r="AD99" s="405"/>
      <c r="AE99" s="405"/>
      <c r="AF99" s="368"/>
      <c r="AG99" s="405"/>
      <c r="AH99" s="368" t="s">
        <v>79</v>
      </c>
      <c r="AI99" s="368" t="s">
        <v>279</v>
      </c>
      <c r="AJ99" s="368" t="s">
        <v>79</v>
      </c>
      <c r="AK99" s="368" t="s">
        <v>79</v>
      </c>
      <c r="AL99" s="368" t="s">
        <v>62</v>
      </c>
      <c r="AM99" s="368" t="s">
        <v>455</v>
      </c>
      <c r="AN99" s="368" t="s">
        <v>280</v>
      </c>
      <c r="AO99" s="402"/>
      <c r="AP99" s="402"/>
      <c r="AQ99" s="402"/>
    </row>
    <row r="100" spans="1:43" ht="12.95" customHeight="1">
      <c r="A100" s="402" t="str">
        <f t="shared" si="1"/>
        <v>QTSFINE090A01021</v>
      </c>
      <c r="B100" s="368" t="s">
        <v>160</v>
      </c>
      <c r="C100" s="368" t="s">
        <v>345</v>
      </c>
      <c r="D100" s="368" t="s">
        <v>299</v>
      </c>
      <c r="E100" s="368" t="s">
        <v>204</v>
      </c>
      <c r="F100" s="368" t="s">
        <v>533</v>
      </c>
      <c r="G100" s="368" t="s">
        <v>275</v>
      </c>
      <c r="H100" s="368" t="s">
        <v>276</v>
      </c>
      <c r="I100" s="394">
        <v>74039</v>
      </c>
      <c r="J100" s="394">
        <v>2</v>
      </c>
      <c r="K100" s="395">
        <v>270.8</v>
      </c>
      <c r="L100" s="395">
        <v>268.95</v>
      </c>
      <c r="M100" s="396">
        <v>-6.8786019706265104E-3</v>
      </c>
      <c r="N100" s="368" t="s">
        <v>277</v>
      </c>
      <c r="O100" s="395">
        <v>229.77264185091641</v>
      </c>
      <c r="P100" s="394">
        <v>17012136.629999999</v>
      </c>
      <c r="Q100" s="394">
        <v>17012136.629999999</v>
      </c>
      <c r="R100" s="394">
        <v>19912789.050000001</v>
      </c>
      <c r="S100" s="394">
        <v>148078</v>
      </c>
      <c r="T100" s="394">
        <v>2900652.42</v>
      </c>
      <c r="U100" s="394">
        <v>-136972.15</v>
      </c>
      <c r="V100" s="396">
        <v>3.6799999999999999E-2</v>
      </c>
      <c r="W100" s="396">
        <v>3.6700000000000003E-2</v>
      </c>
      <c r="X100" s="394">
        <v>0</v>
      </c>
      <c r="Y100" s="394">
        <v>0</v>
      </c>
      <c r="Z100" s="405">
        <v>42766</v>
      </c>
      <c r="AA100" s="368" t="s">
        <v>278</v>
      </c>
      <c r="AB100" s="397"/>
      <c r="AC100" s="405"/>
      <c r="AD100" s="405"/>
      <c r="AE100" s="405"/>
      <c r="AF100" s="368"/>
      <c r="AG100" s="405"/>
      <c r="AH100" s="368" t="s">
        <v>79</v>
      </c>
      <c r="AI100" s="368" t="s">
        <v>279</v>
      </c>
      <c r="AJ100" s="368" t="s">
        <v>79</v>
      </c>
      <c r="AK100" s="368" t="s">
        <v>79</v>
      </c>
      <c r="AL100" s="368" t="s">
        <v>64</v>
      </c>
      <c r="AM100" s="368" t="s">
        <v>458</v>
      </c>
      <c r="AN100" s="368" t="s">
        <v>280</v>
      </c>
      <c r="AO100" s="402"/>
      <c r="AP100" s="402"/>
      <c r="AQ100" s="402"/>
    </row>
    <row r="101" spans="1:43" ht="12.95" customHeight="1">
      <c r="A101" s="402" t="str">
        <f t="shared" si="1"/>
        <v>QTSFINE053A01029</v>
      </c>
      <c r="B101" s="368" t="s">
        <v>160</v>
      </c>
      <c r="C101" s="368" t="s">
        <v>345</v>
      </c>
      <c r="D101" s="368" t="s">
        <v>335</v>
      </c>
      <c r="E101" s="368" t="s">
        <v>131</v>
      </c>
      <c r="F101" s="368" t="s">
        <v>560</v>
      </c>
      <c r="G101" s="368" t="s">
        <v>275</v>
      </c>
      <c r="H101" s="368" t="s">
        <v>276</v>
      </c>
      <c r="I101" s="394">
        <v>157170</v>
      </c>
      <c r="J101" s="394">
        <v>1</v>
      </c>
      <c r="K101" s="395">
        <v>109.95</v>
      </c>
      <c r="L101" s="395">
        <v>108.05</v>
      </c>
      <c r="M101" s="396">
        <v>-1.7584451642757983E-2</v>
      </c>
      <c r="N101" s="368" t="s">
        <v>277</v>
      </c>
      <c r="O101" s="395">
        <v>78.140711904307437</v>
      </c>
      <c r="P101" s="394">
        <v>12281375.689999999</v>
      </c>
      <c r="Q101" s="394">
        <v>12281375.689999999</v>
      </c>
      <c r="R101" s="394">
        <v>16982218.5</v>
      </c>
      <c r="S101" s="394">
        <v>157170</v>
      </c>
      <c r="T101" s="394">
        <v>4700842.8099999996</v>
      </c>
      <c r="U101" s="394">
        <v>-298623</v>
      </c>
      <c r="V101" s="396">
        <v>3.1399999999999997E-2</v>
      </c>
      <c r="W101" s="396">
        <v>3.1300000000000001E-2</v>
      </c>
      <c r="X101" s="394">
        <v>0</v>
      </c>
      <c r="Y101" s="394">
        <v>0</v>
      </c>
      <c r="Z101" s="405">
        <v>42766</v>
      </c>
      <c r="AA101" s="368" t="s">
        <v>278</v>
      </c>
      <c r="AB101" s="397"/>
      <c r="AC101" s="405"/>
      <c r="AD101" s="405"/>
      <c r="AE101" s="405"/>
      <c r="AF101" s="368"/>
      <c r="AG101" s="405"/>
      <c r="AH101" s="368" t="s">
        <v>79</v>
      </c>
      <c r="AI101" s="368" t="s">
        <v>279</v>
      </c>
      <c r="AJ101" s="368" t="s">
        <v>79</v>
      </c>
      <c r="AK101" s="368" t="s">
        <v>79</v>
      </c>
      <c r="AL101" s="368" t="s">
        <v>213</v>
      </c>
      <c r="AM101" s="368" t="s">
        <v>485</v>
      </c>
      <c r="AN101" s="368" t="s">
        <v>280</v>
      </c>
      <c r="AO101" s="402"/>
      <c r="AP101" s="402"/>
      <c r="AQ101" s="402"/>
    </row>
    <row r="102" spans="1:43" ht="12.95" customHeight="1">
      <c r="A102" s="402" t="str">
        <f t="shared" si="1"/>
        <v>QTSFINE009A01021</v>
      </c>
      <c r="B102" s="368" t="s">
        <v>160</v>
      </c>
      <c r="C102" s="368" t="s">
        <v>345</v>
      </c>
      <c r="D102" s="368" t="s">
        <v>301</v>
      </c>
      <c r="E102" s="368" t="s">
        <v>99</v>
      </c>
      <c r="F102" s="368" t="s">
        <v>535</v>
      </c>
      <c r="G102" s="368" t="s">
        <v>275</v>
      </c>
      <c r="H102" s="368" t="s">
        <v>276</v>
      </c>
      <c r="I102" s="394">
        <v>30144</v>
      </c>
      <c r="J102" s="394">
        <v>5</v>
      </c>
      <c r="K102" s="395">
        <v>949.35</v>
      </c>
      <c r="L102" s="395">
        <v>928.6</v>
      </c>
      <c r="M102" s="396">
        <v>-2.2345466293344819E-2</v>
      </c>
      <c r="N102" s="368" t="s">
        <v>277</v>
      </c>
      <c r="O102" s="395">
        <v>865.60367005042463</v>
      </c>
      <c r="P102" s="394">
        <v>26092757.030000001</v>
      </c>
      <c r="Q102" s="394">
        <v>26092757.030000001</v>
      </c>
      <c r="R102" s="394">
        <v>27991718.399999999</v>
      </c>
      <c r="S102" s="394">
        <v>150720</v>
      </c>
      <c r="T102" s="394">
        <v>1898961.37</v>
      </c>
      <c r="U102" s="394">
        <v>-625488</v>
      </c>
      <c r="V102" s="396">
        <v>5.1700000000000003E-2</v>
      </c>
      <c r="W102" s="396">
        <v>5.16E-2</v>
      </c>
      <c r="X102" s="394">
        <v>0</v>
      </c>
      <c r="Y102" s="394">
        <v>0</v>
      </c>
      <c r="Z102" s="405">
        <v>42766</v>
      </c>
      <c r="AA102" s="368" t="s">
        <v>278</v>
      </c>
      <c r="AB102" s="397"/>
      <c r="AC102" s="405"/>
      <c r="AD102" s="405"/>
      <c r="AE102" s="405"/>
      <c r="AF102" s="368"/>
      <c r="AG102" s="405"/>
      <c r="AH102" s="368" t="s">
        <v>79</v>
      </c>
      <c r="AI102" s="368" t="s">
        <v>279</v>
      </c>
      <c r="AJ102" s="368" t="s">
        <v>79</v>
      </c>
      <c r="AK102" s="368" t="s">
        <v>79</v>
      </c>
      <c r="AL102" s="368" t="s">
        <v>63</v>
      </c>
      <c r="AM102" s="368" t="s">
        <v>460</v>
      </c>
      <c r="AN102" s="368" t="s">
        <v>280</v>
      </c>
      <c r="AO102" s="402"/>
      <c r="AP102" s="402"/>
      <c r="AQ102" s="402"/>
    </row>
    <row r="103" spans="1:43" ht="12.95" customHeight="1">
      <c r="A103" s="402" t="str">
        <f t="shared" si="1"/>
        <v>QTSFINE242A01010</v>
      </c>
      <c r="B103" s="368" t="s">
        <v>160</v>
      </c>
      <c r="C103" s="368" t="s">
        <v>345</v>
      </c>
      <c r="D103" s="368" t="s">
        <v>336</v>
      </c>
      <c r="E103" s="368" t="s">
        <v>143</v>
      </c>
      <c r="F103" s="368" t="s">
        <v>561</v>
      </c>
      <c r="G103" s="368" t="s">
        <v>275</v>
      </c>
      <c r="H103" s="368" t="s">
        <v>276</v>
      </c>
      <c r="I103" s="394">
        <v>25762</v>
      </c>
      <c r="J103" s="394">
        <v>10</v>
      </c>
      <c r="K103" s="395">
        <v>377.8</v>
      </c>
      <c r="L103" s="395">
        <v>366.4</v>
      </c>
      <c r="M103" s="396">
        <v>-3.111353711790393E-2</v>
      </c>
      <c r="N103" s="368" t="s">
        <v>277</v>
      </c>
      <c r="O103" s="395">
        <v>156.48420464249671</v>
      </c>
      <c r="P103" s="394">
        <v>4031346.08</v>
      </c>
      <c r="Q103" s="394">
        <v>4031346.08</v>
      </c>
      <c r="R103" s="394">
        <v>9439196.8000000007</v>
      </c>
      <c r="S103" s="394">
        <v>257620</v>
      </c>
      <c r="T103" s="394">
        <v>5407850.7199999997</v>
      </c>
      <c r="U103" s="394">
        <v>-293686.8</v>
      </c>
      <c r="V103" s="396">
        <v>1.7399999999999999E-2</v>
      </c>
      <c r="W103" s="396">
        <v>1.7399999999999999E-2</v>
      </c>
      <c r="X103" s="394">
        <v>0</v>
      </c>
      <c r="Y103" s="394">
        <v>0</v>
      </c>
      <c r="Z103" s="405">
        <v>42766</v>
      </c>
      <c r="AA103" s="368" t="s">
        <v>278</v>
      </c>
      <c r="AB103" s="397"/>
      <c r="AC103" s="405"/>
      <c r="AD103" s="405"/>
      <c r="AE103" s="405"/>
      <c r="AF103" s="368"/>
      <c r="AG103" s="405"/>
      <c r="AH103" s="368" t="s">
        <v>79</v>
      </c>
      <c r="AI103" s="368" t="s">
        <v>279</v>
      </c>
      <c r="AJ103" s="368" t="s">
        <v>79</v>
      </c>
      <c r="AK103" s="368" t="s">
        <v>79</v>
      </c>
      <c r="AL103" s="368" t="s">
        <v>74</v>
      </c>
      <c r="AM103" s="368" t="s">
        <v>486</v>
      </c>
      <c r="AN103" s="368" t="s">
        <v>280</v>
      </c>
      <c r="AO103" s="402"/>
      <c r="AP103" s="402"/>
      <c r="AQ103" s="402"/>
    </row>
    <row r="104" spans="1:43" ht="12.95" customHeight="1">
      <c r="A104" s="402" t="str">
        <f t="shared" si="1"/>
        <v>QTSFINE237A01028</v>
      </c>
      <c r="B104" s="368" t="s">
        <v>160</v>
      </c>
      <c r="C104" s="368" t="s">
        <v>345</v>
      </c>
      <c r="D104" s="368" t="s">
        <v>303</v>
      </c>
      <c r="E104" s="368" t="s">
        <v>112</v>
      </c>
      <c r="F104" s="368" t="s">
        <v>537</v>
      </c>
      <c r="G104" s="368" t="s">
        <v>275</v>
      </c>
      <c r="H104" s="368" t="s">
        <v>276</v>
      </c>
      <c r="I104" s="394">
        <v>19068</v>
      </c>
      <c r="J104" s="394">
        <v>5</v>
      </c>
      <c r="K104" s="395">
        <v>775.6</v>
      </c>
      <c r="L104" s="395">
        <v>774.15</v>
      </c>
      <c r="M104" s="396">
        <v>-1.8730220241555255E-3</v>
      </c>
      <c r="N104" s="368" t="s">
        <v>277</v>
      </c>
      <c r="O104" s="395">
        <v>487.12692573945878</v>
      </c>
      <c r="P104" s="394">
        <v>9288536.2200000007</v>
      </c>
      <c r="Q104" s="394">
        <v>9288536.2200000007</v>
      </c>
      <c r="R104" s="394">
        <v>14761492.199999999</v>
      </c>
      <c r="S104" s="394">
        <v>95340</v>
      </c>
      <c r="T104" s="394">
        <v>5472955.9800000004</v>
      </c>
      <c r="U104" s="394">
        <v>-27648.6</v>
      </c>
      <c r="V104" s="396">
        <v>2.7300000000000001E-2</v>
      </c>
      <c r="W104" s="396">
        <v>2.7199999999999998E-2</v>
      </c>
      <c r="X104" s="394">
        <v>0</v>
      </c>
      <c r="Y104" s="394">
        <v>0</v>
      </c>
      <c r="Z104" s="405">
        <v>42766</v>
      </c>
      <c r="AA104" s="368" t="s">
        <v>278</v>
      </c>
      <c r="AB104" s="397"/>
      <c r="AC104" s="405"/>
      <c r="AD104" s="405"/>
      <c r="AE104" s="405"/>
      <c r="AF104" s="368"/>
      <c r="AG104" s="405"/>
      <c r="AH104" s="368" t="s">
        <v>79</v>
      </c>
      <c r="AI104" s="368" t="s">
        <v>279</v>
      </c>
      <c r="AJ104" s="368" t="s">
        <v>79</v>
      </c>
      <c r="AK104" s="368" t="s">
        <v>79</v>
      </c>
      <c r="AL104" s="368" t="s">
        <v>64</v>
      </c>
      <c r="AM104" s="368" t="s">
        <v>462</v>
      </c>
      <c r="AN104" s="368" t="s">
        <v>280</v>
      </c>
      <c r="AO104" s="402"/>
      <c r="AP104" s="402"/>
      <c r="AQ104" s="402"/>
    </row>
    <row r="105" spans="1:43" ht="12.95" customHeight="1">
      <c r="A105" s="402" t="str">
        <f t="shared" si="1"/>
        <v>QTSFINE018A01030</v>
      </c>
      <c r="B105" s="368" t="s">
        <v>160</v>
      </c>
      <c r="C105" s="368" t="s">
        <v>345</v>
      </c>
      <c r="D105" s="368" t="s">
        <v>304</v>
      </c>
      <c r="E105" s="368" t="s">
        <v>102</v>
      </c>
      <c r="F105" s="368" t="s">
        <v>538</v>
      </c>
      <c r="G105" s="368" t="s">
        <v>275</v>
      </c>
      <c r="H105" s="368" t="s">
        <v>276</v>
      </c>
      <c r="I105" s="394">
        <v>12878</v>
      </c>
      <c r="J105" s="394">
        <v>2</v>
      </c>
      <c r="K105" s="395">
        <v>1442.8</v>
      </c>
      <c r="L105" s="395">
        <v>1446.25</v>
      </c>
      <c r="M105" s="396">
        <v>2.3854796888504752E-3</v>
      </c>
      <c r="N105" s="368" t="s">
        <v>277</v>
      </c>
      <c r="O105" s="395">
        <v>1245.1372340425532</v>
      </c>
      <c r="P105" s="394">
        <v>16034877.300000001</v>
      </c>
      <c r="Q105" s="394">
        <v>16034877.300000001</v>
      </c>
      <c r="R105" s="394">
        <v>18624807.5</v>
      </c>
      <c r="S105" s="394">
        <v>25756</v>
      </c>
      <c r="T105" s="394">
        <v>2589930.2000000002</v>
      </c>
      <c r="U105" s="394">
        <v>44429.1</v>
      </c>
      <c r="V105" s="396">
        <v>3.44E-2</v>
      </c>
      <c r="W105" s="396">
        <v>3.44E-2</v>
      </c>
      <c r="X105" s="394">
        <v>0</v>
      </c>
      <c r="Y105" s="394">
        <v>0</v>
      </c>
      <c r="Z105" s="405">
        <v>42766</v>
      </c>
      <c r="AA105" s="368" t="s">
        <v>278</v>
      </c>
      <c r="AB105" s="397"/>
      <c r="AC105" s="405"/>
      <c r="AD105" s="405"/>
      <c r="AE105" s="405"/>
      <c r="AF105" s="368"/>
      <c r="AG105" s="405"/>
      <c r="AH105" s="368" t="s">
        <v>79</v>
      </c>
      <c r="AI105" s="368" t="s">
        <v>279</v>
      </c>
      <c r="AJ105" s="368" t="s">
        <v>79</v>
      </c>
      <c r="AK105" s="368" t="s">
        <v>79</v>
      </c>
      <c r="AL105" s="368" t="s">
        <v>71</v>
      </c>
      <c r="AM105" s="368" t="s">
        <v>463</v>
      </c>
      <c r="AN105" s="368" t="s">
        <v>280</v>
      </c>
      <c r="AO105" s="402"/>
      <c r="AP105" s="402"/>
      <c r="AQ105" s="402"/>
    </row>
    <row r="106" spans="1:43" ht="12.95" customHeight="1">
      <c r="A106" s="402" t="str">
        <f t="shared" si="1"/>
        <v>QTSFINE733E01010</v>
      </c>
      <c r="B106" s="368" t="s">
        <v>160</v>
      </c>
      <c r="C106" s="368" t="s">
        <v>345</v>
      </c>
      <c r="D106" s="368" t="s">
        <v>309</v>
      </c>
      <c r="E106" s="368" t="s">
        <v>114</v>
      </c>
      <c r="F106" s="368" t="s">
        <v>544</v>
      </c>
      <c r="G106" s="368" t="s">
        <v>275</v>
      </c>
      <c r="H106" s="368" t="s">
        <v>276</v>
      </c>
      <c r="I106" s="394">
        <v>140413</v>
      </c>
      <c r="J106" s="394">
        <v>10</v>
      </c>
      <c r="K106" s="395">
        <v>175.7</v>
      </c>
      <c r="L106" s="395">
        <v>172.35</v>
      </c>
      <c r="M106" s="396">
        <v>-1.9437191760951551E-2</v>
      </c>
      <c r="N106" s="368" t="s">
        <v>277</v>
      </c>
      <c r="O106" s="395">
        <v>147.84741113714543</v>
      </c>
      <c r="P106" s="394">
        <v>20759698.539999999</v>
      </c>
      <c r="Q106" s="394">
        <v>20759698.539999999</v>
      </c>
      <c r="R106" s="394">
        <v>24200180.550000001</v>
      </c>
      <c r="S106" s="394">
        <v>1404130</v>
      </c>
      <c r="T106" s="394">
        <v>3440482.01</v>
      </c>
      <c r="U106" s="394">
        <v>-470383.55</v>
      </c>
      <c r="V106" s="396">
        <v>4.4699999999999997E-2</v>
      </c>
      <c r="W106" s="396">
        <v>4.4600000000000001E-2</v>
      </c>
      <c r="X106" s="394">
        <v>0</v>
      </c>
      <c r="Y106" s="394">
        <v>0</v>
      </c>
      <c r="Z106" s="405">
        <v>42766</v>
      </c>
      <c r="AA106" s="368" t="s">
        <v>278</v>
      </c>
      <c r="AB106" s="397"/>
      <c r="AC106" s="405"/>
      <c r="AD106" s="405"/>
      <c r="AE106" s="405"/>
      <c r="AF106" s="368"/>
      <c r="AG106" s="405"/>
      <c r="AH106" s="368" t="s">
        <v>79</v>
      </c>
      <c r="AI106" s="368" t="s">
        <v>279</v>
      </c>
      <c r="AJ106" s="368" t="s">
        <v>79</v>
      </c>
      <c r="AK106" s="368" t="s">
        <v>79</v>
      </c>
      <c r="AL106" s="368" t="s">
        <v>70</v>
      </c>
      <c r="AM106" s="368" t="s">
        <v>469</v>
      </c>
      <c r="AN106" s="368" t="s">
        <v>280</v>
      </c>
      <c r="AO106" s="402"/>
      <c r="AP106" s="402"/>
      <c r="AQ106" s="402"/>
    </row>
    <row r="107" spans="1:43" ht="12.95" customHeight="1">
      <c r="A107" s="402" t="str">
        <f t="shared" si="1"/>
        <v>QTSFINE213A01029</v>
      </c>
      <c r="B107" s="368" t="s">
        <v>160</v>
      </c>
      <c r="C107" s="368" t="s">
        <v>345</v>
      </c>
      <c r="D107" s="368" t="s">
        <v>310</v>
      </c>
      <c r="E107" s="368" t="s">
        <v>105</v>
      </c>
      <c r="F107" s="368" t="s">
        <v>545</v>
      </c>
      <c r="G107" s="368" t="s">
        <v>275</v>
      </c>
      <c r="H107" s="368" t="s">
        <v>276</v>
      </c>
      <c r="I107" s="394">
        <v>105453</v>
      </c>
      <c r="J107" s="394">
        <v>5</v>
      </c>
      <c r="K107" s="395">
        <v>201.85</v>
      </c>
      <c r="L107" s="395">
        <v>202.55</v>
      </c>
      <c r="M107" s="396">
        <v>3.455936805726981E-3</v>
      </c>
      <c r="N107" s="368" t="s">
        <v>277</v>
      </c>
      <c r="O107" s="395">
        <v>187.97094923804917</v>
      </c>
      <c r="P107" s="394">
        <v>19822100.510000002</v>
      </c>
      <c r="Q107" s="394">
        <v>19822100.510000002</v>
      </c>
      <c r="R107" s="394">
        <v>21359505.149999999</v>
      </c>
      <c r="S107" s="394">
        <v>527265</v>
      </c>
      <c r="T107" s="394">
        <v>1537404.64</v>
      </c>
      <c r="U107" s="394">
        <v>73817.100000000006</v>
      </c>
      <c r="V107" s="396">
        <v>3.9399999999999998E-2</v>
      </c>
      <c r="W107" s="396">
        <v>3.9399999999999998E-2</v>
      </c>
      <c r="X107" s="394">
        <v>0</v>
      </c>
      <c r="Y107" s="394">
        <v>0</v>
      </c>
      <c r="Z107" s="405">
        <v>42766</v>
      </c>
      <c r="AA107" s="368" t="s">
        <v>278</v>
      </c>
      <c r="AB107" s="397"/>
      <c r="AC107" s="405"/>
      <c r="AD107" s="405"/>
      <c r="AE107" s="405"/>
      <c r="AF107" s="368"/>
      <c r="AG107" s="405"/>
      <c r="AH107" s="368" t="s">
        <v>79</v>
      </c>
      <c r="AI107" s="368" t="s">
        <v>279</v>
      </c>
      <c r="AJ107" s="368" t="s">
        <v>79</v>
      </c>
      <c r="AK107" s="368" t="s">
        <v>79</v>
      </c>
      <c r="AL107" s="368" t="s">
        <v>66</v>
      </c>
      <c r="AM107" s="368" t="s">
        <v>470</v>
      </c>
      <c r="AN107" s="368" t="s">
        <v>280</v>
      </c>
      <c r="AO107" s="402"/>
      <c r="AP107" s="402"/>
      <c r="AQ107" s="402"/>
    </row>
    <row r="108" spans="1:43" ht="12.95" customHeight="1">
      <c r="A108" s="402" t="str">
        <f t="shared" si="1"/>
        <v>QTSFINE752E01010</v>
      </c>
      <c r="B108" s="368" t="s">
        <v>160</v>
      </c>
      <c r="C108" s="368" t="s">
        <v>345</v>
      </c>
      <c r="D108" s="368" t="s">
        <v>311</v>
      </c>
      <c r="E108" s="368" t="s">
        <v>123</v>
      </c>
      <c r="F108" s="368" t="s">
        <v>546</v>
      </c>
      <c r="G108" s="368" t="s">
        <v>275</v>
      </c>
      <c r="H108" s="368" t="s">
        <v>276</v>
      </c>
      <c r="I108" s="394">
        <v>88975</v>
      </c>
      <c r="J108" s="394">
        <v>10</v>
      </c>
      <c r="K108" s="395">
        <v>205.7</v>
      </c>
      <c r="L108" s="395">
        <v>207.2</v>
      </c>
      <c r="M108" s="396">
        <v>7.2393822393822397E-3</v>
      </c>
      <c r="N108" s="368" t="s">
        <v>277</v>
      </c>
      <c r="O108" s="395">
        <v>139.98243765102558</v>
      </c>
      <c r="P108" s="394">
        <v>12454937.390000001</v>
      </c>
      <c r="Q108" s="394">
        <v>12454937.390000001</v>
      </c>
      <c r="R108" s="394">
        <v>18435620</v>
      </c>
      <c r="S108" s="394">
        <v>889750</v>
      </c>
      <c r="T108" s="394">
        <v>5980682.6100000003</v>
      </c>
      <c r="U108" s="394">
        <v>133462.5</v>
      </c>
      <c r="V108" s="396">
        <v>3.4000000000000002E-2</v>
      </c>
      <c r="W108" s="396">
        <v>3.4000000000000002E-2</v>
      </c>
      <c r="X108" s="394">
        <v>0</v>
      </c>
      <c r="Y108" s="394">
        <v>0</v>
      </c>
      <c r="Z108" s="405">
        <v>42766</v>
      </c>
      <c r="AA108" s="368" t="s">
        <v>278</v>
      </c>
      <c r="AB108" s="397"/>
      <c r="AC108" s="405"/>
      <c r="AD108" s="405"/>
      <c r="AE108" s="405"/>
      <c r="AF108" s="368"/>
      <c r="AG108" s="405"/>
      <c r="AH108" s="368" t="s">
        <v>79</v>
      </c>
      <c r="AI108" s="368" t="s">
        <v>279</v>
      </c>
      <c r="AJ108" s="368" t="s">
        <v>79</v>
      </c>
      <c r="AK108" s="368" t="s">
        <v>79</v>
      </c>
      <c r="AL108" s="368" t="s">
        <v>70</v>
      </c>
      <c r="AM108" s="368" t="s">
        <v>471</v>
      </c>
      <c r="AN108" s="368" t="s">
        <v>280</v>
      </c>
      <c r="AO108" s="402"/>
      <c r="AP108" s="402"/>
      <c r="AQ108" s="402"/>
    </row>
    <row r="109" spans="1:43" ht="12.95" customHeight="1">
      <c r="A109" s="402" t="str">
        <f t="shared" si="1"/>
        <v>QTSFINE347G01014</v>
      </c>
      <c r="B109" s="368" t="s">
        <v>160</v>
      </c>
      <c r="C109" s="368" t="s">
        <v>345</v>
      </c>
      <c r="D109" s="368" t="s">
        <v>337</v>
      </c>
      <c r="E109" s="368" t="s">
        <v>167</v>
      </c>
      <c r="F109" s="368" t="s">
        <v>562</v>
      </c>
      <c r="G109" s="368" t="s">
        <v>275</v>
      </c>
      <c r="H109" s="368" t="s">
        <v>276</v>
      </c>
      <c r="I109" s="394">
        <v>27565</v>
      </c>
      <c r="J109" s="394">
        <v>10</v>
      </c>
      <c r="K109" s="395">
        <v>385.05</v>
      </c>
      <c r="L109" s="395">
        <v>373.95</v>
      </c>
      <c r="M109" s="396">
        <v>-2.9683112715603692E-2</v>
      </c>
      <c r="N109" s="368" t="s">
        <v>277</v>
      </c>
      <c r="O109" s="395">
        <v>155.06006675131508</v>
      </c>
      <c r="P109" s="394">
        <v>4274230.74</v>
      </c>
      <c r="Q109" s="394">
        <v>4274230.74</v>
      </c>
      <c r="R109" s="394">
        <v>10307931.75</v>
      </c>
      <c r="S109" s="394">
        <v>275650</v>
      </c>
      <c r="T109" s="394">
        <v>6033701.0099999998</v>
      </c>
      <c r="U109" s="394">
        <v>-305971.5</v>
      </c>
      <c r="V109" s="396">
        <v>1.9E-2</v>
      </c>
      <c r="W109" s="396">
        <v>1.9E-2</v>
      </c>
      <c r="X109" s="394">
        <v>0</v>
      </c>
      <c r="Y109" s="394">
        <v>0</v>
      </c>
      <c r="Z109" s="405">
        <v>42766</v>
      </c>
      <c r="AA109" s="368" t="s">
        <v>278</v>
      </c>
      <c r="AB109" s="397"/>
      <c r="AC109" s="405"/>
      <c r="AD109" s="405"/>
      <c r="AE109" s="405"/>
      <c r="AF109" s="368"/>
      <c r="AG109" s="405"/>
      <c r="AH109" s="368" t="s">
        <v>79</v>
      </c>
      <c r="AI109" s="368" t="s">
        <v>279</v>
      </c>
      <c r="AJ109" s="368" t="s">
        <v>79</v>
      </c>
      <c r="AK109" s="368" t="s">
        <v>79</v>
      </c>
      <c r="AL109" s="368" t="s">
        <v>76</v>
      </c>
      <c r="AM109" s="368" t="s">
        <v>487</v>
      </c>
      <c r="AN109" s="368" t="s">
        <v>280</v>
      </c>
      <c r="AO109" s="402"/>
      <c r="AP109" s="402"/>
      <c r="AQ109" s="402"/>
    </row>
    <row r="110" spans="1:43" ht="12.95" customHeight="1">
      <c r="A110" s="402" t="str">
        <f t="shared" si="1"/>
        <v>QTSFINE877F01012</v>
      </c>
      <c r="B110" s="368" t="s">
        <v>160</v>
      </c>
      <c r="C110" s="368" t="s">
        <v>345</v>
      </c>
      <c r="D110" s="368" t="s">
        <v>338</v>
      </c>
      <c r="E110" s="368" t="s">
        <v>132</v>
      </c>
      <c r="F110" s="368" t="s">
        <v>563</v>
      </c>
      <c r="G110" s="368" t="s">
        <v>275</v>
      </c>
      <c r="H110" s="368" t="s">
        <v>276</v>
      </c>
      <c r="I110" s="394">
        <v>168819</v>
      </c>
      <c r="J110" s="394">
        <v>10</v>
      </c>
      <c r="K110" s="395">
        <v>86.5</v>
      </c>
      <c r="L110" s="395">
        <v>84.1</v>
      </c>
      <c r="M110" s="396">
        <v>-2.8537455410225922E-2</v>
      </c>
      <c r="N110" s="368" t="s">
        <v>277</v>
      </c>
      <c r="O110" s="395">
        <v>72.357021543783574</v>
      </c>
      <c r="P110" s="394">
        <v>12215240.02</v>
      </c>
      <c r="Q110" s="394">
        <v>12215240.02</v>
      </c>
      <c r="R110" s="394">
        <v>14197677.9</v>
      </c>
      <c r="S110" s="394">
        <v>1688190</v>
      </c>
      <c r="T110" s="394">
        <v>1982437.88</v>
      </c>
      <c r="U110" s="394">
        <v>-405165.6</v>
      </c>
      <c r="V110" s="396">
        <v>2.6200000000000001E-2</v>
      </c>
      <c r="W110" s="396">
        <v>2.6200000000000001E-2</v>
      </c>
      <c r="X110" s="394">
        <v>0</v>
      </c>
      <c r="Y110" s="394">
        <v>0</v>
      </c>
      <c r="Z110" s="405">
        <v>42766</v>
      </c>
      <c r="AA110" s="368" t="s">
        <v>278</v>
      </c>
      <c r="AB110" s="397"/>
      <c r="AC110" s="405"/>
      <c r="AD110" s="405"/>
      <c r="AE110" s="405"/>
      <c r="AF110" s="368"/>
      <c r="AG110" s="405"/>
      <c r="AH110" s="368" t="s">
        <v>79</v>
      </c>
      <c r="AI110" s="368" t="s">
        <v>279</v>
      </c>
      <c r="AJ110" s="368" t="s">
        <v>79</v>
      </c>
      <c r="AK110" s="368" t="s">
        <v>79</v>
      </c>
      <c r="AL110" s="368" t="s">
        <v>70</v>
      </c>
      <c r="AM110" s="368" t="s">
        <v>488</v>
      </c>
      <c r="AN110" s="368" t="s">
        <v>280</v>
      </c>
      <c r="AO110" s="402"/>
      <c r="AP110" s="402"/>
      <c r="AQ110" s="402"/>
    </row>
    <row r="111" spans="1:43" ht="12.95" customHeight="1">
      <c r="A111" s="402" t="str">
        <f t="shared" si="1"/>
        <v>QTSFINE062A01020</v>
      </c>
      <c r="B111" s="368" t="s">
        <v>160</v>
      </c>
      <c r="C111" s="368" t="s">
        <v>345</v>
      </c>
      <c r="D111" s="368" t="s">
        <v>313</v>
      </c>
      <c r="E111" s="368" t="s">
        <v>201</v>
      </c>
      <c r="F111" s="368" t="s">
        <v>210</v>
      </c>
      <c r="G111" s="368" t="s">
        <v>275</v>
      </c>
      <c r="H111" s="368" t="s">
        <v>276</v>
      </c>
      <c r="I111" s="394">
        <v>78500</v>
      </c>
      <c r="J111" s="394">
        <v>1</v>
      </c>
      <c r="K111" s="395">
        <v>263.95</v>
      </c>
      <c r="L111" s="395">
        <v>260.35000000000002</v>
      </c>
      <c r="M111" s="396">
        <v>-1.3827539850201652E-2</v>
      </c>
      <c r="N111" s="368" t="s">
        <v>277</v>
      </c>
      <c r="O111" s="395">
        <v>229.55333528662419</v>
      </c>
      <c r="P111" s="394">
        <v>18019936.82</v>
      </c>
      <c r="Q111" s="394">
        <v>18019936.82</v>
      </c>
      <c r="R111" s="394">
        <v>20437475</v>
      </c>
      <c r="S111" s="394">
        <v>78500</v>
      </c>
      <c r="T111" s="394">
        <v>2417538.1800000002</v>
      </c>
      <c r="U111" s="394">
        <v>-282600</v>
      </c>
      <c r="V111" s="396">
        <v>3.7699999999999997E-2</v>
      </c>
      <c r="W111" s="396">
        <v>3.7699999999999997E-2</v>
      </c>
      <c r="X111" s="394">
        <v>0</v>
      </c>
      <c r="Y111" s="394">
        <v>0</v>
      </c>
      <c r="Z111" s="405">
        <v>42766</v>
      </c>
      <c r="AA111" s="368" t="s">
        <v>278</v>
      </c>
      <c r="AB111" s="397"/>
      <c r="AC111" s="405"/>
      <c r="AD111" s="405"/>
      <c r="AE111" s="405"/>
      <c r="AF111" s="368"/>
      <c r="AG111" s="405"/>
      <c r="AH111" s="368" t="s">
        <v>79</v>
      </c>
      <c r="AI111" s="368" t="s">
        <v>279</v>
      </c>
      <c r="AJ111" s="368" t="s">
        <v>79</v>
      </c>
      <c r="AK111" s="368" t="s">
        <v>79</v>
      </c>
      <c r="AL111" s="368" t="s">
        <v>64</v>
      </c>
      <c r="AM111" s="368" t="s">
        <v>210</v>
      </c>
      <c r="AN111" s="368" t="s">
        <v>280</v>
      </c>
      <c r="AO111" s="402"/>
      <c r="AP111" s="402"/>
      <c r="AQ111" s="402"/>
    </row>
    <row r="112" spans="1:43" ht="12.95" customHeight="1">
      <c r="A112" s="402" t="str">
        <f t="shared" si="1"/>
        <v>QTSFINE092A01019</v>
      </c>
      <c r="B112" s="368" t="s">
        <v>160</v>
      </c>
      <c r="C112" s="368" t="s">
        <v>345</v>
      </c>
      <c r="D112" s="368" t="s">
        <v>339</v>
      </c>
      <c r="E112" s="368" t="s">
        <v>133</v>
      </c>
      <c r="F112" s="368" t="s">
        <v>564</v>
      </c>
      <c r="G112" s="368" t="s">
        <v>275</v>
      </c>
      <c r="H112" s="368" t="s">
        <v>276</v>
      </c>
      <c r="I112" s="394">
        <v>30360</v>
      </c>
      <c r="J112" s="394">
        <v>10</v>
      </c>
      <c r="K112" s="395">
        <v>541</v>
      </c>
      <c r="L112" s="395">
        <v>544.54999999999995</v>
      </c>
      <c r="M112" s="396">
        <v>6.5191442475438432E-3</v>
      </c>
      <c r="N112" s="368" t="s">
        <v>277</v>
      </c>
      <c r="O112" s="395">
        <v>338.63466469038207</v>
      </c>
      <c r="P112" s="394">
        <v>10280948.42</v>
      </c>
      <c r="Q112" s="394">
        <v>10280948.42</v>
      </c>
      <c r="R112" s="394">
        <v>16532538</v>
      </c>
      <c r="S112" s="394">
        <v>303600</v>
      </c>
      <c r="T112" s="394">
        <v>6251589.5800000001</v>
      </c>
      <c r="U112" s="394">
        <v>107778</v>
      </c>
      <c r="V112" s="396">
        <v>3.0499999999999999E-2</v>
      </c>
      <c r="W112" s="396">
        <v>3.0499999999999999E-2</v>
      </c>
      <c r="X112" s="394">
        <v>0</v>
      </c>
      <c r="Y112" s="394">
        <v>0</v>
      </c>
      <c r="Z112" s="405">
        <v>42766</v>
      </c>
      <c r="AA112" s="368" t="s">
        <v>278</v>
      </c>
      <c r="AB112" s="397"/>
      <c r="AC112" s="405"/>
      <c r="AD112" s="405"/>
      <c r="AE112" s="405"/>
      <c r="AF112" s="368"/>
      <c r="AG112" s="405"/>
      <c r="AH112" s="368" t="s">
        <v>79</v>
      </c>
      <c r="AI112" s="368" t="s">
        <v>279</v>
      </c>
      <c r="AJ112" s="368" t="s">
        <v>79</v>
      </c>
      <c r="AK112" s="368" t="s">
        <v>79</v>
      </c>
      <c r="AL112" s="368" t="s">
        <v>96</v>
      </c>
      <c r="AM112" s="368" t="s">
        <v>489</v>
      </c>
      <c r="AN112" s="368" t="s">
        <v>280</v>
      </c>
      <c r="AO112" s="402"/>
      <c r="AP112" s="402"/>
      <c r="AQ112" s="402"/>
    </row>
    <row r="113" spans="1:43" ht="12.95" customHeight="1">
      <c r="A113" s="402" t="str">
        <f t="shared" si="1"/>
        <v>QTSFINE467B01029</v>
      </c>
      <c r="B113" s="368" t="s">
        <v>160</v>
      </c>
      <c r="C113" s="368" t="s">
        <v>345</v>
      </c>
      <c r="D113" s="368" t="s">
        <v>315</v>
      </c>
      <c r="E113" s="368" t="s">
        <v>103</v>
      </c>
      <c r="F113" s="368" t="s">
        <v>549</v>
      </c>
      <c r="G113" s="368" t="s">
        <v>275</v>
      </c>
      <c r="H113" s="368" t="s">
        <v>276</v>
      </c>
      <c r="I113" s="394">
        <v>11930</v>
      </c>
      <c r="J113" s="394">
        <v>1</v>
      </c>
      <c r="K113" s="395">
        <v>2332.9</v>
      </c>
      <c r="L113" s="395">
        <v>2229.8000000000002</v>
      </c>
      <c r="M113" s="396">
        <v>-4.6237330702305138E-2</v>
      </c>
      <c r="N113" s="368" t="s">
        <v>277</v>
      </c>
      <c r="O113" s="395">
        <v>2067.0279455155073</v>
      </c>
      <c r="P113" s="394">
        <v>24659643.390000001</v>
      </c>
      <c r="Q113" s="394">
        <v>24659643.390000001</v>
      </c>
      <c r="R113" s="394">
        <v>26601514</v>
      </c>
      <c r="S113" s="394">
        <v>11930</v>
      </c>
      <c r="T113" s="394">
        <v>1941870.61</v>
      </c>
      <c r="U113" s="394">
        <v>-1229983</v>
      </c>
      <c r="V113" s="396">
        <v>4.9099999999999998E-2</v>
      </c>
      <c r="W113" s="396">
        <v>4.9099999999999998E-2</v>
      </c>
      <c r="X113" s="394">
        <v>0</v>
      </c>
      <c r="Y113" s="394">
        <v>0</v>
      </c>
      <c r="Z113" s="405">
        <v>42766</v>
      </c>
      <c r="AA113" s="368" t="s">
        <v>278</v>
      </c>
      <c r="AB113" s="397"/>
      <c r="AC113" s="405"/>
      <c r="AD113" s="405"/>
      <c r="AE113" s="405"/>
      <c r="AF113" s="368"/>
      <c r="AG113" s="405"/>
      <c r="AH113" s="368" t="s">
        <v>79</v>
      </c>
      <c r="AI113" s="368" t="s">
        <v>279</v>
      </c>
      <c r="AJ113" s="368" t="s">
        <v>79</v>
      </c>
      <c r="AK113" s="368" t="s">
        <v>79</v>
      </c>
      <c r="AL113" s="368" t="s">
        <v>63</v>
      </c>
      <c r="AM113" s="368" t="s">
        <v>474</v>
      </c>
      <c r="AN113" s="368" t="s">
        <v>280</v>
      </c>
      <c r="AO113" s="402"/>
      <c r="AP113" s="402"/>
      <c r="AQ113" s="402"/>
    </row>
    <row r="114" spans="1:43" ht="12.95" customHeight="1">
      <c r="A114" s="402" t="str">
        <f t="shared" si="1"/>
        <v>QTSFINE155A01022</v>
      </c>
      <c r="B114" s="368" t="s">
        <v>160</v>
      </c>
      <c r="C114" s="368" t="s">
        <v>345</v>
      </c>
      <c r="D114" s="368" t="s">
        <v>316</v>
      </c>
      <c r="E114" s="368" t="s">
        <v>106</v>
      </c>
      <c r="F114" s="368" t="s">
        <v>550</v>
      </c>
      <c r="G114" s="368" t="s">
        <v>275</v>
      </c>
      <c r="H114" s="368" t="s">
        <v>276</v>
      </c>
      <c r="I114" s="394">
        <v>48172</v>
      </c>
      <c r="J114" s="394">
        <v>2</v>
      </c>
      <c r="K114" s="395">
        <v>532.29999999999995</v>
      </c>
      <c r="L114" s="395">
        <v>523.54999999999995</v>
      </c>
      <c r="M114" s="396">
        <v>-1.6712825900105054E-2</v>
      </c>
      <c r="N114" s="368" t="s">
        <v>277</v>
      </c>
      <c r="O114" s="395">
        <v>411.71122021091088</v>
      </c>
      <c r="P114" s="394">
        <v>19832952.899999999</v>
      </c>
      <c r="Q114" s="394">
        <v>19832952.899999999</v>
      </c>
      <c r="R114" s="394">
        <v>25220450.600000001</v>
      </c>
      <c r="S114" s="394">
        <v>96344</v>
      </c>
      <c r="T114" s="394">
        <v>5387497.7000000002</v>
      </c>
      <c r="U114" s="394">
        <v>-421505</v>
      </c>
      <c r="V114" s="396">
        <v>4.6600000000000003E-2</v>
      </c>
      <c r="W114" s="396">
        <v>4.65E-2</v>
      </c>
      <c r="X114" s="394">
        <v>0</v>
      </c>
      <c r="Y114" s="394">
        <v>0</v>
      </c>
      <c r="Z114" s="405">
        <v>42766</v>
      </c>
      <c r="AA114" s="368" t="s">
        <v>278</v>
      </c>
      <c r="AB114" s="397"/>
      <c r="AC114" s="405"/>
      <c r="AD114" s="405"/>
      <c r="AE114" s="405"/>
      <c r="AF114" s="368"/>
      <c r="AG114" s="405"/>
      <c r="AH114" s="368" t="s">
        <v>79</v>
      </c>
      <c r="AI114" s="368" t="s">
        <v>279</v>
      </c>
      <c r="AJ114" s="368" t="s">
        <v>79</v>
      </c>
      <c r="AK114" s="368" t="s">
        <v>79</v>
      </c>
      <c r="AL114" s="368" t="s">
        <v>62</v>
      </c>
      <c r="AM114" s="368" t="s">
        <v>475</v>
      </c>
      <c r="AN114" s="368" t="s">
        <v>280</v>
      </c>
      <c r="AO114" s="402"/>
      <c r="AP114" s="402"/>
      <c r="AQ114" s="402"/>
    </row>
    <row r="115" spans="1:43" ht="12.95" customHeight="1">
      <c r="A115" s="402" t="str">
        <f t="shared" si="1"/>
        <v>QTSFINE081A01012</v>
      </c>
      <c r="B115" s="368" t="s">
        <v>160</v>
      </c>
      <c r="C115" s="368" t="s">
        <v>345</v>
      </c>
      <c r="D115" s="368" t="s">
        <v>318</v>
      </c>
      <c r="E115" s="368" t="s">
        <v>109</v>
      </c>
      <c r="F115" s="368" t="s">
        <v>553</v>
      </c>
      <c r="G115" s="368" t="s">
        <v>275</v>
      </c>
      <c r="H115" s="368" t="s">
        <v>276</v>
      </c>
      <c r="I115" s="394">
        <v>24741</v>
      </c>
      <c r="J115" s="394">
        <v>10</v>
      </c>
      <c r="K115" s="395">
        <v>462.05</v>
      </c>
      <c r="L115" s="395">
        <v>463.05</v>
      </c>
      <c r="M115" s="396">
        <v>2.1595939963286901E-3</v>
      </c>
      <c r="N115" s="368" t="s">
        <v>277</v>
      </c>
      <c r="O115" s="395">
        <v>357.70005537367126</v>
      </c>
      <c r="P115" s="394">
        <v>8849857.0700000003</v>
      </c>
      <c r="Q115" s="394">
        <v>8849857.0700000003</v>
      </c>
      <c r="R115" s="394">
        <v>11456320.050000001</v>
      </c>
      <c r="S115" s="394">
        <v>247410</v>
      </c>
      <c r="T115" s="394">
        <v>2606462.98</v>
      </c>
      <c r="U115" s="394">
        <v>24741</v>
      </c>
      <c r="V115" s="396">
        <v>2.1100000000000001E-2</v>
      </c>
      <c r="W115" s="396">
        <v>2.1100000000000001E-2</v>
      </c>
      <c r="X115" s="394">
        <v>0</v>
      </c>
      <c r="Y115" s="394">
        <v>0</v>
      </c>
      <c r="Z115" s="405">
        <v>42766</v>
      </c>
      <c r="AA115" s="368" t="s">
        <v>278</v>
      </c>
      <c r="AB115" s="397"/>
      <c r="AC115" s="405"/>
      <c r="AD115" s="405"/>
      <c r="AE115" s="405"/>
      <c r="AF115" s="368"/>
      <c r="AG115" s="405"/>
      <c r="AH115" s="368" t="s">
        <v>79</v>
      </c>
      <c r="AI115" s="368" t="s">
        <v>279</v>
      </c>
      <c r="AJ115" s="368" t="s">
        <v>79</v>
      </c>
      <c r="AK115" s="368" t="s">
        <v>79</v>
      </c>
      <c r="AL115" s="368" t="s">
        <v>72</v>
      </c>
      <c r="AM115" s="368" t="s">
        <v>477</v>
      </c>
      <c r="AN115" s="368" t="s">
        <v>280</v>
      </c>
      <c r="AO115" s="402"/>
      <c r="AP115" s="402"/>
      <c r="AQ115" s="402"/>
    </row>
    <row r="116" spans="1:43" ht="12.95" customHeight="1">
      <c r="A116" s="402" t="str">
        <f t="shared" si="1"/>
        <v>QTSFINE075A01022</v>
      </c>
      <c r="B116" s="368" t="s">
        <v>160</v>
      </c>
      <c r="C116" s="368" t="s">
        <v>345</v>
      </c>
      <c r="D116" s="368" t="s">
        <v>322</v>
      </c>
      <c r="E116" s="368" t="s">
        <v>173</v>
      </c>
      <c r="F116" s="368" t="s">
        <v>556</v>
      </c>
      <c r="G116" s="368" t="s">
        <v>275</v>
      </c>
      <c r="H116" s="368" t="s">
        <v>276</v>
      </c>
      <c r="I116" s="394">
        <v>29581</v>
      </c>
      <c r="J116" s="394">
        <v>2</v>
      </c>
      <c r="K116" s="395">
        <v>465.75</v>
      </c>
      <c r="L116" s="395">
        <v>458</v>
      </c>
      <c r="M116" s="396">
        <v>-1.6921397379912665E-2</v>
      </c>
      <c r="N116" s="368" t="s">
        <v>277</v>
      </c>
      <c r="O116" s="395">
        <v>525.32694432236906</v>
      </c>
      <c r="P116" s="394">
        <v>15539696.34</v>
      </c>
      <c r="Q116" s="394">
        <v>15539696.34</v>
      </c>
      <c r="R116" s="394">
        <v>13548098</v>
      </c>
      <c r="S116" s="394">
        <v>59162</v>
      </c>
      <c r="T116" s="394">
        <v>-1991598.34</v>
      </c>
      <c r="U116" s="394">
        <v>-229252.75</v>
      </c>
      <c r="V116" s="396">
        <v>2.5000000000000001E-2</v>
      </c>
      <c r="W116" s="396">
        <v>2.5000000000000001E-2</v>
      </c>
      <c r="X116" s="394">
        <v>0</v>
      </c>
      <c r="Y116" s="394">
        <v>0</v>
      </c>
      <c r="Z116" s="405">
        <v>42766</v>
      </c>
      <c r="AA116" s="368" t="s">
        <v>278</v>
      </c>
      <c r="AB116" s="397"/>
      <c r="AC116" s="405"/>
      <c r="AD116" s="405"/>
      <c r="AE116" s="405"/>
      <c r="AF116" s="368"/>
      <c r="AG116" s="405"/>
      <c r="AH116" s="368" t="s">
        <v>79</v>
      </c>
      <c r="AI116" s="368" t="s">
        <v>279</v>
      </c>
      <c r="AJ116" s="368" t="s">
        <v>79</v>
      </c>
      <c r="AK116" s="368" t="s">
        <v>79</v>
      </c>
      <c r="AL116" s="368" t="s">
        <v>63</v>
      </c>
      <c r="AM116" s="368" t="s">
        <v>481</v>
      </c>
      <c r="AN116" s="368" t="s">
        <v>280</v>
      </c>
      <c r="AO116" s="402"/>
      <c r="AP116" s="402"/>
      <c r="AQ116" s="402"/>
    </row>
    <row r="117" spans="1:43" ht="12.95" customHeight="1">
      <c r="A117" s="402" t="str">
        <f t="shared" si="1"/>
        <v>QTSF</v>
      </c>
      <c r="B117" s="368" t="s">
        <v>160</v>
      </c>
      <c r="C117" s="368" t="s">
        <v>345</v>
      </c>
      <c r="D117" s="273"/>
      <c r="E117" s="273"/>
      <c r="F117" s="273"/>
      <c r="G117" s="401" t="s">
        <v>325</v>
      </c>
      <c r="H117" s="273"/>
      <c r="I117" s="273"/>
      <c r="J117" s="273"/>
      <c r="K117" s="273"/>
      <c r="L117" s="273"/>
      <c r="M117" s="273"/>
      <c r="N117" s="273"/>
      <c r="O117" s="273"/>
      <c r="P117" s="274">
        <v>383414715.00999999</v>
      </c>
      <c r="Q117" s="370">
        <v>383414715.00999999</v>
      </c>
      <c r="R117" s="370">
        <v>483407644.64999998</v>
      </c>
      <c r="S117" s="273"/>
      <c r="T117" s="370">
        <v>99992929.640000001</v>
      </c>
      <c r="U117" s="370">
        <v>-5782095.5999999996</v>
      </c>
      <c r="V117" s="371">
        <v>0.89259999999999995</v>
      </c>
      <c r="W117" s="371">
        <v>0.89159999999999995</v>
      </c>
      <c r="X117" s="370">
        <v>0</v>
      </c>
      <c r="Y117" s="370">
        <v>0</v>
      </c>
      <c r="Z117" s="273"/>
      <c r="AA117" s="273"/>
      <c r="AB117" s="273"/>
      <c r="AC117" s="273"/>
      <c r="AD117" s="273"/>
      <c r="AE117" s="273"/>
      <c r="AF117" s="273"/>
      <c r="AG117" s="273"/>
      <c r="AH117" s="273"/>
      <c r="AI117" s="273"/>
      <c r="AJ117" s="273"/>
      <c r="AK117" s="273"/>
      <c r="AL117" s="273"/>
      <c r="AM117" s="273"/>
      <c r="AN117" s="273"/>
      <c r="AO117" s="402"/>
      <c r="AP117" s="402"/>
      <c r="AQ117" s="402"/>
    </row>
    <row r="118" spans="1:43" ht="12.95" customHeight="1">
      <c r="A118" s="402" t="str">
        <f t="shared" si="1"/>
        <v>QTSFCash &amp; Cash Equivalent:</v>
      </c>
      <c r="B118" s="368" t="s">
        <v>160</v>
      </c>
      <c r="C118" s="368" t="s">
        <v>345</v>
      </c>
      <c r="D118" s="401" t="s">
        <v>326</v>
      </c>
      <c r="E118" s="401" t="s">
        <v>326</v>
      </c>
      <c r="F118" s="401" t="s">
        <v>326</v>
      </c>
      <c r="G118" s="273"/>
      <c r="H118" s="273"/>
      <c r="I118" s="273"/>
      <c r="J118" s="273"/>
      <c r="K118" s="273"/>
      <c r="L118" s="273"/>
      <c r="M118" s="273"/>
      <c r="N118" s="273"/>
      <c r="O118" s="273"/>
      <c r="P118" s="273"/>
      <c r="Q118" s="273"/>
      <c r="R118" s="370">
        <v>-366360.09721723001</v>
      </c>
      <c r="S118" s="273"/>
      <c r="T118" s="273"/>
      <c r="U118" s="273"/>
      <c r="V118" s="371">
        <v>-8.0000000000000004E-4</v>
      </c>
      <c r="W118" s="273"/>
      <c r="X118" s="273"/>
      <c r="Y118" s="273"/>
      <c r="Z118" s="273"/>
      <c r="AA118" s="273"/>
      <c r="AB118" s="273"/>
      <c r="AC118" s="273"/>
      <c r="AD118" s="273"/>
      <c r="AE118" s="273"/>
      <c r="AF118" s="273"/>
      <c r="AG118" s="273"/>
      <c r="AH118" s="273"/>
      <c r="AI118" s="273"/>
      <c r="AJ118" s="273"/>
      <c r="AK118" s="273"/>
      <c r="AL118" s="273"/>
      <c r="AM118" s="273"/>
      <c r="AN118" s="273"/>
      <c r="AO118" s="402"/>
      <c r="AP118" s="402"/>
      <c r="AQ118" s="402"/>
    </row>
    <row r="119" spans="1:43" ht="12.95" customHeight="1">
      <c r="A119" s="402" t="str">
        <f t="shared" si="1"/>
        <v>QTSFNet Asset:</v>
      </c>
      <c r="B119" s="368" t="s">
        <v>160</v>
      </c>
      <c r="C119" s="368" t="s">
        <v>345</v>
      </c>
      <c r="D119" s="401" t="s">
        <v>327</v>
      </c>
      <c r="E119" s="401" t="s">
        <v>327</v>
      </c>
      <c r="F119" s="401" t="s">
        <v>327</v>
      </c>
      <c r="G119" s="273"/>
      <c r="H119" s="273"/>
      <c r="I119" s="273"/>
      <c r="J119" s="273"/>
      <c r="K119" s="273"/>
      <c r="L119" s="273"/>
      <c r="M119" s="273"/>
      <c r="N119" s="273"/>
      <c r="O119" s="273"/>
      <c r="P119" s="273"/>
      <c r="Q119" s="273"/>
      <c r="R119" s="370">
        <v>541673284.55278277</v>
      </c>
      <c r="S119" s="273"/>
      <c r="T119" s="273"/>
      <c r="U119" s="273"/>
      <c r="V119" s="371">
        <v>1</v>
      </c>
      <c r="W119" s="273"/>
      <c r="X119" s="273"/>
      <c r="Y119" s="273"/>
      <c r="Z119" s="273"/>
      <c r="AA119" s="273"/>
      <c r="AB119" s="273"/>
      <c r="AC119" s="273"/>
      <c r="AD119" s="273"/>
      <c r="AE119" s="273"/>
      <c r="AF119" s="273"/>
      <c r="AG119" s="273"/>
      <c r="AH119" s="273"/>
      <c r="AI119" s="273"/>
      <c r="AJ119" s="273"/>
      <c r="AK119" s="273"/>
      <c r="AL119" s="273"/>
      <c r="AM119" s="273"/>
      <c r="AN119" s="273"/>
      <c r="AO119" s="402"/>
      <c r="AP119" s="402"/>
      <c r="AQ119" s="402"/>
    </row>
    <row r="120" spans="1:43" ht="12.95" customHeight="1">
      <c r="A120" s="402" t="str">
        <f t="shared" si="1"/>
        <v/>
      </c>
      <c r="B120" s="275" t="s">
        <v>79</v>
      </c>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402"/>
      <c r="AP120" s="402"/>
      <c r="AQ120" s="402"/>
    </row>
    <row r="121" spans="1:43" ht="12.95" customHeight="1">
      <c r="A121" s="402" t="str">
        <f t="shared" si="1"/>
        <v>QUETFGCBL_010217</v>
      </c>
      <c r="B121" s="368" t="s">
        <v>346</v>
      </c>
      <c r="C121" s="368" t="s">
        <v>347</v>
      </c>
      <c r="D121" s="368" t="s">
        <v>607</v>
      </c>
      <c r="E121" s="368" t="s">
        <v>607</v>
      </c>
      <c r="F121" s="368" t="s">
        <v>607</v>
      </c>
      <c r="G121" s="368" t="s">
        <v>329</v>
      </c>
      <c r="H121" s="368" t="s">
        <v>329</v>
      </c>
      <c r="I121" s="394">
        <v>1920</v>
      </c>
      <c r="J121" s="394">
        <v>100</v>
      </c>
      <c r="K121" s="395">
        <v>0</v>
      </c>
      <c r="L121" s="395">
        <v>100</v>
      </c>
      <c r="M121" s="396">
        <v>1</v>
      </c>
      <c r="N121" s="368" t="s">
        <v>277</v>
      </c>
      <c r="O121" s="395">
        <v>99.983020833333327</v>
      </c>
      <c r="P121" s="394">
        <v>191967.4</v>
      </c>
      <c r="Q121" s="394">
        <v>192000</v>
      </c>
      <c r="R121" s="394">
        <v>192000</v>
      </c>
      <c r="S121" s="394">
        <v>192000</v>
      </c>
      <c r="T121" s="394">
        <v>0</v>
      </c>
      <c r="U121" s="394">
        <v>0</v>
      </c>
      <c r="V121" s="396">
        <v>2.9999999999999997E-4</v>
      </c>
      <c r="W121" s="396">
        <v>2.9999999999999997E-4</v>
      </c>
      <c r="X121" s="394">
        <v>0</v>
      </c>
      <c r="Y121" s="394">
        <v>32.6</v>
      </c>
      <c r="Z121" s="405">
        <v>42766</v>
      </c>
      <c r="AA121" s="368" t="s">
        <v>278</v>
      </c>
      <c r="AB121" s="397"/>
      <c r="AC121" s="405"/>
      <c r="AD121" s="405">
        <v>42767</v>
      </c>
      <c r="AE121" s="405">
        <v>42767</v>
      </c>
      <c r="AF121" s="368">
        <v>1</v>
      </c>
      <c r="AG121" s="405">
        <v>42767</v>
      </c>
      <c r="AH121" s="368" t="s">
        <v>330</v>
      </c>
      <c r="AI121" s="368" t="s">
        <v>331</v>
      </c>
      <c r="AJ121" s="368" t="s">
        <v>79</v>
      </c>
      <c r="AK121" s="368" t="s">
        <v>79</v>
      </c>
      <c r="AL121" s="368" t="s">
        <v>510</v>
      </c>
      <c r="AM121" s="368" t="s">
        <v>332</v>
      </c>
      <c r="AN121" s="368" t="s">
        <v>280</v>
      </c>
      <c r="AO121" s="402"/>
      <c r="AP121" s="402"/>
      <c r="AQ121" s="402"/>
    </row>
    <row r="122" spans="1:43" ht="12.95" customHeight="1">
      <c r="A122" s="402" t="str">
        <f t="shared" si="1"/>
        <v>QUETFG</v>
      </c>
      <c r="B122" s="368" t="s">
        <v>346</v>
      </c>
      <c r="C122" s="368" t="s">
        <v>347</v>
      </c>
      <c r="D122" s="273"/>
      <c r="E122" s="273"/>
      <c r="F122" s="273"/>
      <c r="G122" s="401" t="s">
        <v>333</v>
      </c>
      <c r="H122" s="273"/>
      <c r="I122" s="273"/>
      <c r="J122" s="273"/>
      <c r="K122" s="273"/>
      <c r="L122" s="273"/>
      <c r="M122" s="273"/>
      <c r="N122" s="273"/>
      <c r="O122" s="273"/>
      <c r="P122" s="274">
        <v>191967.4</v>
      </c>
      <c r="Q122" s="370">
        <v>192000</v>
      </c>
      <c r="R122" s="370">
        <v>192000</v>
      </c>
      <c r="S122" s="273"/>
      <c r="T122" s="370">
        <v>0</v>
      </c>
      <c r="U122" s="370">
        <v>0</v>
      </c>
      <c r="V122" s="371">
        <v>2.9999999999999997E-4</v>
      </c>
      <c r="W122" s="371">
        <v>2.9999999999999997E-4</v>
      </c>
      <c r="X122" s="370">
        <v>0</v>
      </c>
      <c r="Y122" s="370">
        <v>32.6</v>
      </c>
      <c r="Z122" s="273"/>
      <c r="AA122" s="273"/>
      <c r="AB122" s="273"/>
      <c r="AC122" s="273"/>
      <c r="AD122" s="273"/>
      <c r="AE122" s="273"/>
      <c r="AF122" s="273"/>
      <c r="AG122" s="273"/>
      <c r="AH122" s="273"/>
      <c r="AI122" s="273"/>
      <c r="AJ122" s="273"/>
      <c r="AK122" s="273"/>
      <c r="AL122" s="273"/>
      <c r="AM122" s="273"/>
      <c r="AN122" s="273"/>
      <c r="AO122" s="402"/>
      <c r="AP122" s="402"/>
      <c r="AQ122" s="402"/>
    </row>
    <row r="123" spans="1:43" s="400" customFormat="1" ht="12.95" customHeight="1">
      <c r="A123" s="402" t="str">
        <f t="shared" si="1"/>
        <v>QUETFGDBXXXGOLD100</v>
      </c>
      <c r="B123" s="368" t="s">
        <v>346</v>
      </c>
      <c r="C123" s="368" t="s">
        <v>347</v>
      </c>
      <c r="D123" s="368" t="s">
        <v>348</v>
      </c>
      <c r="E123" s="368" t="s">
        <v>349</v>
      </c>
      <c r="F123" s="368" t="s">
        <v>350</v>
      </c>
      <c r="G123" s="368" t="s">
        <v>31</v>
      </c>
      <c r="H123" s="368" t="s">
        <v>351</v>
      </c>
      <c r="I123" s="394">
        <v>194</v>
      </c>
      <c r="J123" s="394">
        <v>1</v>
      </c>
      <c r="K123" s="395">
        <v>2912361.5142000001</v>
      </c>
      <c r="L123" s="395">
        <v>2920270.3413999998</v>
      </c>
      <c r="M123" s="396">
        <v>2.7082517285740224E-3</v>
      </c>
      <c r="N123" s="368" t="s">
        <v>277</v>
      </c>
      <c r="O123" s="395">
        <v>2178582.0089690723</v>
      </c>
      <c r="P123" s="394">
        <v>422644909.74000001</v>
      </c>
      <c r="Q123" s="394">
        <v>422644909.74000001</v>
      </c>
      <c r="R123" s="394">
        <v>566532446.23000002</v>
      </c>
      <c r="S123" s="394">
        <v>194</v>
      </c>
      <c r="T123" s="394">
        <v>143887536.49000001</v>
      </c>
      <c r="U123" s="394">
        <v>1534312.48</v>
      </c>
      <c r="V123" s="396">
        <v>0.96260000000000001</v>
      </c>
      <c r="W123" s="396">
        <v>0.96020000000000005</v>
      </c>
      <c r="X123" s="394">
        <v>0</v>
      </c>
      <c r="Y123" s="394">
        <v>0</v>
      </c>
      <c r="Z123" s="405">
        <v>42766</v>
      </c>
      <c r="AA123" s="368" t="s">
        <v>278</v>
      </c>
      <c r="AB123" s="397"/>
      <c r="AC123" s="405"/>
      <c r="AD123" s="405"/>
      <c r="AE123" s="405"/>
      <c r="AF123" s="368"/>
      <c r="AG123" s="405"/>
      <c r="AH123" s="368" t="s">
        <v>79</v>
      </c>
      <c r="AI123" s="368" t="s">
        <v>279</v>
      </c>
      <c r="AJ123" s="368" t="s">
        <v>79</v>
      </c>
      <c r="AK123" s="368" t="s">
        <v>79</v>
      </c>
      <c r="AL123" s="368" t="s">
        <v>510</v>
      </c>
      <c r="AM123" s="368" t="s">
        <v>351</v>
      </c>
      <c r="AN123" s="368" t="s">
        <v>280</v>
      </c>
      <c r="AO123" s="402"/>
      <c r="AP123" s="402"/>
      <c r="AQ123" s="402"/>
    </row>
    <row r="124" spans="1:43" ht="12.95" customHeight="1">
      <c r="A124" s="402" t="str">
        <f t="shared" si="1"/>
        <v>QUETFG</v>
      </c>
      <c r="B124" s="368" t="s">
        <v>346</v>
      </c>
      <c r="C124" s="368" t="s">
        <v>347</v>
      </c>
      <c r="D124" s="368" t="s">
        <v>352</v>
      </c>
      <c r="E124" s="368" t="s">
        <v>79</v>
      </c>
      <c r="F124" s="368" t="s">
        <v>353</v>
      </c>
      <c r="G124" s="368" t="s">
        <v>31</v>
      </c>
      <c r="H124" s="368" t="s">
        <v>351</v>
      </c>
      <c r="I124" s="394">
        <v>8</v>
      </c>
      <c r="J124" s="394">
        <v>1</v>
      </c>
      <c r="K124" s="395">
        <v>2900802.3654999998</v>
      </c>
      <c r="L124" s="395">
        <v>2908679.7999</v>
      </c>
      <c r="M124" s="396">
        <v>2.7082508017110805E-3</v>
      </c>
      <c r="N124" s="368" t="s">
        <v>277</v>
      </c>
      <c r="O124" s="395">
        <v>2665152.4024999999</v>
      </c>
      <c r="P124" s="394">
        <v>21321219.219999999</v>
      </c>
      <c r="Q124" s="394">
        <v>21321219.219999999</v>
      </c>
      <c r="R124" s="394">
        <v>23269438.399999999</v>
      </c>
      <c r="S124" s="394">
        <v>8</v>
      </c>
      <c r="T124" s="394">
        <v>1948219.18</v>
      </c>
      <c r="U124" s="394">
        <v>63019.48</v>
      </c>
      <c r="V124" s="396">
        <v>3.95E-2</v>
      </c>
      <c r="W124" s="396">
        <v>3.9399999999999998E-2</v>
      </c>
      <c r="X124" s="394">
        <v>0</v>
      </c>
      <c r="Y124" s="394">
        <v>0</v>
      </c>
      <c r="Z124" s="405">
        <v>42766</v>
      </c>
      <c r="AA124" s="368" t="s">
        <v>278</v>
      </c>
      <c r="AB124" s="397"/>
      <c r="AC124" s="405"/>
      <c r="AD124" s="405"/>
      <c r="AE124" s="405"/>
      <c r="AF124" s="368"/>
      <c r="AG124" s="405"/>
      <c r="AH124" s="368" t="s">
        <v>79</v>
      </c>
      <c r="AI124" s="368" t="s">
        <v>279</v>
      </c>
      <c r="AJ124" s="368" t="s">
        <v>79</v>
      </c>
      <c r="AK124" s="368" t="s">
        <v>79</v>
      </c>
      <c r="AL124" s="368" t="s">
        <v>510</v>
      </c>
      <c r="AM124" s="368" t="s">
        <v>351</v>
      </c>
      <c r="AN124" s="368" t="s">
        <v>280</v>
      </c>
      <c r="AO124" s="402"/>
      <c r="AP124" s="402"/>
      <c r="AQ124" s="402"/>
    </row>
    <row r="125" spans="1:43" s="400" customFormat="1" ht="12.95" customHeight="1">
      <c r="A125" s="402" t="str">
        <f t="shared" si="1"/>
        <v>QUETFG</v>
      </c>
      <c r="B125" s="368" t="s">
        <v>346</v>
      </c>
      <c r="C125" s="368" t="s">
        <v>347</v>
      </c>
      <c r="D125" s="273"/>
      <c r="E125" s="273"/>
      <c r="F125" s="273"/>
      <c r="G125" s="401" t="s">
        <v>354</v>
      </c>
      <c r="H125" s="273"/>
      <c r="I125" s="273"/>
      <c r="J125" s="273"/>
      <c r="K125" s="273"/>
      <c r="L125" s="273"/>
      <c r="M125" s="273"/>
      <c r="N125" s="273"/>
      <c r="O125" s="273"/>
      <c r="P125" s="274">
        <v>443966128.95999998</v>
      </c>
      <c r="Q125" s="370">
        <v>443966128.95999998</v>
      </c>
      <c r="R125" s="370">
        <v>589801884.63</v>
      </c>
      <c r="S125" s="273"/>
      <c r="T125" s="370">
        <v>145835755.66999999</v>
      </c>
      <c r="U125" s="370">
        <v>1597331.96</v>
      </c>
      <c r="V125" s="371">
        <v>1.0021</v>
      </c>
      <c r="W125" s="371">
        <v>0.99960000000000004</v>
      </c>
      <c r="X125" s="370">
        <v>0</v>
      </c>
      <c r="Y125" s="370">
        <v>0</v>
      </c>
      <c r="Z125" s="273"/>
      <c r="AA125" s="273"/>
      <c r="AB125" s="273"/>
      <c r="AC125" s="273"/>
      <c r="AD125" s="273"/>
      <c r="AE125" s="273"/>
      <c r="AF125" s="273"/>
      <c r="AG125" s="273"/>
      <c r="AH125" s="273"/>
      <c r="AI125" s="273"/>
      <c r="AJ125" s="273"/>
      <c r="AK125" s="273"/>
      <c r="AL125" s="273"/>
      <c r="AM125" s="273"/>
      <c r="AN125" s="273"/>
      <c r="AO125" s="402"/>
      <c r="AP125" s="402"/>
      <c r="AQ125" s="402"/>
    </row>
    <row r="126" spans="1:43" ht="12.95" customHeight="1">
      <c r="A126" s="402" t="str">
        <f t="shared" si="1"/>
        <v>QUETFGCash &amp; Cash Equivalent:</v>
      </c>
      <c r="B126" s="368" t="s">
        <v>346</v>
      </c>
      <c r="C126" s="368" t="s">
        <v>347</v>
      </c>
      <c r="D126" s="401" t="s">
        <v>326</v>
      </c>
      <c r="E126" s="401" t="s">
        <v>326</v>
      </c>
      <c r="F126" s="401" t="s">
        <v>326</v>
      </c>
      <c r="G126" s="273"/>
      <c r="H126" s="273"/>
      <c r="I126" s="273"/>
      <c r="J126" s="273"/>
      <c r="K126" s="273"/>
      <c r="L126" s="273"/>
      <c r="M126" s="273"/>
      <c r="N126" s="273"/>
      <c r="O126" s="273"/>
      <c r="P126" s="273"/>
      <c r="Q126" s="273"/>
      <c r="R126" s="370">
        <v>-1453392.5971226699</v>
      </c>
      <c r="S126" s="273"/>
      <c r="T126" s="273"/>
      <c r="U126" s="273"/>
      <c r="V126" s="371">
        <v>-2.3999999999999998E-3</v>
      </c>
      <c r="W126" s="273"/>
      <c r="X126" s="273"/>
      <c r="Y126" s="273"/>
      <c r="Z126" s="273"/>
      <c r="AA126" s="273"/>
      <c r="AB126" s="273"/>
      <c r="AC126" s="273"/>
      <c r="AD126" s="273"/>
      <c r="AE126" s="273"/>
      <c r="AF126" s="273"/>
      <c r="AG126" s="273"/>
      <c r="AH126" s="273"/>
      <c r="AI126" s="273"/>
      <c r="AJ126" s="273"/>
      <c r="AK126" s="273"/>
      <c r="AL126" s="273"/>
      <c r="AM126" s="273"/>
      <c r="AN126" s="273"/>
      <c r="AO126" s="402"/>
      <c r="AP126" s="402"/>
      <c r="AQ126" s="402"/>
    </row>
    <row r="127" spans="1:43" ht="12.95" customHeight="1">
      <c r="A127" s="402" t="str">
        <f t="shared" si="1"/>
        <v>QUETFGNet Asset:</v>
      </c>
      <c r="B127" s="368" t="s">
        <v>346</v>
      </c>
      <c r="C127" s="368" t="s">
        <v>347</v>
      </c>
      <c r="D127" s="401" t="s">
        <v>327</v>
      </c>
      <c r="E127" s="401" t="s">
        <v>327</v>
      </c>
      <c r="F127" s="401" t="s">
        <v>327</v>
      </c>
      <c r="G127" s="273"/>
      <c r="H127" s="273"/>
      <c r="I127" s="273"/>
      <c r="J127" s="273"/>
      <c r="K127" s="273"/>
      <c r="L127" s="273"/>
      <c r="M127" s="273"/>
      <c r="N127" s="273"/>
      <c r="O127" s="273"/>
      <c r="P127" s="273"/>
      <c r="Q127" s="273"/>
      <c r="R127" s="370">
        <v>588540492.03287733</v>
      </c>
      <c r="S127" s="273"/>
      <c r="T127" s="273"/>
      <c r="U127" s="273"/>
      <c r="V127" s="371">
        <v>1</v>
      </c>
      <c r="W127" s="273"/>
      <c r="X127" s="273"/>
      <c r="Y127" s="273"/>
      <c r="Z127" s="273"/>
      <c r="AA127" s="273"/>
      <c r="AB127" s="273"/>
      <c r="AC127" s="273"/>
      <c r="AD127" s="273"/>
      <c r="AE127" s="273"/>
      <c r="AF127" s="273"/>
      <c r="AG127" s="273"/>
      <c r="AH127" s="273"/>
      <c r="AI127" s="273"/>
      <c r="AJ127" s="273"/>
      <c r="AK127" s="273"/>
      <c r="AL127" s="273"/>
      <c r="AM127" s="273"/>
      <c r="AN127" s="273"/>
      <c r="AO127" s="402"/>
      <c r="AP127" s="402"/>
      <c r="AQ127" s="402"/>
    </row>
    <row r="128" spans="1:43" ht="12.95" customHeight="1">
      <c r="A128" s="402" t="str">
        <f t="shared" si="1"/>
        <v/>
      </c>
      <c r="B128" s="275" t="s">
        <v>79</v>
      </c>
      <c r="C128" s="273"/>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402"/>
      <c r="AP128" s="402"/>
      <c r="AQ128" s="402"/>
    </row>
    <row r="129" spans="1:43" ht="12.95" customHeight="1">
      <c r="A129" s="402" t="str">
        <f t="shared" si="1"/>
        <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row>
    <row r="130" spans="1:43" ht="12.95" customHeight="1">
      <c r="A130" s="402" t="str">
        <f t="shared" si="1"/>
        <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row>
    <row r="131" spans="1:43" ht="36">
      <c r="A131" s="402" t="str">
        <f t="shared" si="1"/>
        <v>QDBFCBL_010217</v>
      </c>
      <c r="B131" s="368" t="s">
        <v>226</v>
      </c>
      <c r="C131" s="368" t="s">
        <v>380</v>
      </c>
      <c r="D131" s="368" t="s">
        <v>607</v>
      </c>
      <c r="E131" s="368" t="s">
        <v>607</v>
      </c>
      <c r="F131" s="368" t="s">
        <v>607</v>
      </c>
      <c r="G131" s="368" t="s">
        <v>329</v>
      </c>
      <c r="H131" s="368" t="s">
        <v>329</v>
      </c>
      <c r="I131" s="394">
        <v>1889922.13007</v>
      </c>
      <c r="J131" s="394">
        <v>100</v>
      </c>
      <c r="K131" s="395">
        <v>0</v>
      </c>
      <c r="L131" s="395">
        <v>99.999999996</v>
      </c>
      <c r="M131" s="396">
        <v>1</v>
      </c>
      <c r="N131" s="368" t="s">
        <v>277</v>
      </c>
      <c r="O131" s="395">
        <v>99.983156455764231</v>
      </c>
      <c r="P131" s="394">
        <v>188960380.02000001</v>
      </c>
      <c r="Q131" s="394">
        <v>188992213</v>
      </c>
      <c r="R131" s="394">
        <v>188992213</v>
      </c>
      <c r="S131" s="394">
        <v>188992213.007</v>
      </c>
      <c r="T131" s="394">
        <v>0</v>
      </c>
      <c r="U131" s="394">
        <v>0</v>
      </c>
      <c r="V131" s="396">
        <v>0.33169999999999999</v>
      </c>
      <c r="W131" s="396">
        <v>0.33210000000000001</v>
      </c>
      <c r="X131" s="394">
        <v>0</v>
      </c>
      <c r="Y131" s="394">
        <v>31832.98</v>
      </c>
      <c r="Z131" s="405">
        <v>42766</v>
      </c>
      <c r="AA131" s="368" t="s">
        <v>278</v>
      </c>
      <c r="AB131" s="368" t="s">
        <v>79</v>
      </c>
      <c r="AC131" s="368" t="s">
        <v>79</v>
      </c>
      <c r="AD131" s="405">
        <v>42767</v>
      </c>
      <c r="AE131" s="405">
        <v>42767</v>
      </c>
      <c r="AF131" s="368">
        <v>1</v>
      </c>
      <c r="AG131" s="405">
        <v>42767</v>
      </c>
      <c r="AH131" s="368" t="s">
        <v>330</v>
      </c>
      <c r="AI131" s="368" t="s">
        <v>331</v>
      </c>
      <c r="AJ131" s="368" t="s">
        <v>79</v>
      </c>
      <c r="AK131" s="368" t="s">
        <v>79</v>
      </c>
      <c r="AL131" s="368" t="s">
        <v>510</v>
      </c>
      <c r="AM131" s="368" t="s">
        <v>332</v>
      </c>
      <c r="AN131" s="368" t="s">
        <v>280</v>
      </c>
      <c r="AO131" s="376"/>
    </row>
    <row r="132" spans="1:43">
      <c r="A132" s="402" t="str">
        <f t="shared" si="1"/>
        <v>QDBF</v>
      </c>
      <c r="B132" s="368" t="s">
        <v>226</v>
      </c>
      <c r="C132" s="368" t="s">
        <v>380</v>
      </c>
      <c r="D132" s="273"/>
      <c r="E132" s="273"/>
      <c r="F132" s="273"/>
      <c r="G132" s="401" t="s">
        <v>333</v>
      </c>
      <c r="H132" s="273"/>
      <c r="I132" s="273"/>
      <c r="J132" s="273"/>
      <c r="K132" s="273"/>
      <c r="L132" s="273"/>
      <c r="M132" s="273"/>
      <c r="N132" s="273"/>
      <c r="O132" s="273"/>
      <c r="P132" s="274">
        <v>188960380.02000001</v>
      </c>
      <c r="Q132" s="370">
        <v>188992213</v>
      </c>
      <c r="R132" s="370">
        <v>188992213</v>
      </c>
      <c r="S132" s="273"/>
      <c r="T132" s="370">
        <v>0</v>
      </c>
      <c r="U132" s="370">
        <v>0</v>
      </c>
      <c r="V132" s="371">
        <v>0.33169999999999999</v>
      </c>
      <c r="W132" s="371">
        <v>0.33210000000000001</v>
      </c>
      <c r="X132" s="370">
        <v>0</v>
      </c>
      <c r="Y132" s="370">
        <v>31832.98</v>
      </c>
      <c r="Z132" s="273"/>
      <c r="AA132" s="273"/>
      <c r="AB132" s="273"/>
      <c r="AC132" s="273"/>
      <c r="AD132" s="273"/>
      <c r="AE132" s="273"/>
      <c r="AF132" s="273"/>
      <c r="AG132" s="273"/>
      <c r="AH132" s="273"/>
      <c r="AI132" s="273"/>
      <c r="AJ132" s="273"/>
      <c r="AK132" s="273"/>
      <c r="AL132" s="273"/>
      <c r="AM132" s="273"/>
      <c r="AN132" s="273"/>
    </row>
    <row r="133" spans="1:43" ht="12.95" customHeight="1">
      <c r="A133" s="402" t="str">
        <f t="shared" ref="A133:A188" si="2">+B133&amp;E133</f>
        <v>QDBFIN0020150036</v>
      </c>
      <c r="B133" s="368" t="s">
        <v>226</v>
      </c>
      <c r="C133" s="368" t="s">
        <v>380</v>
      </c>
      <c r="D133" s="368" t="s">
        <v>572</v>
      </c>
      <c r="E133" s="368" t="s">
        <v>573</v>
      </c>
      <c r="F133" s="368" t="s">
        <v>574</v>
      </c>
      <c r="G133" s="368" t="s">
        <v>381</v>
      </c>
      <c r="H133" s="368" t="s">
        <v>382</v>
      </c>
      <c r="I133" s="394">
        <v>500000</v>
      </c>
      <c r="J133" s="394">
        <v>100</v>
      </c>
      <c r="K133" s="395">
        <v>106.36</v>
      </c>
      <c r="L133" s="395">
        <v>106.29</v>
      </c>
      <c r="M133" s="396">
        <v>-6.585755950700913E-4</v>
      </c>
      <c r="N133" s="368" t="s">
        <v>277</v>
      </c>
      <c r="O133" s="395">
        <v>106.84115</v>
      </c>
      <c r="P133" s="394">
        <v>53420575</v>
      </c>
      <c r="Q133" s="394">
        <v>53420575</v>
      </c>
      <c r="R133" s="394">
        <v>53145000</v>
      </c>
      <c r="S133" s="394">
        <v>50000000</v>
      </c>
      <c r="T133" s="394">
        <v>-275575</v>
      </c>
      <c r="U133" s="394">
        <v>-35000</v>
      </c>
      <c r="V133" s="396">
        <v>9.3299999999999994E-2</v>
      </c>
      <c r="W133" s="396">
        <v>9.3399999999999997E-2</v>
      </c>
      <c r="X133" s="394">
        <v>707666.67</v>
      </c>
      <c r="Y133" s="394">
        <v>0</v>
      </c>
      <c r="Z133" s="405">
        <v>42766</v>
      </c>
      <c r="AA133" s="368" t="s">
        <v>342</v>
      </c>
      <c r="AB133" s="397">
        <v>7.72</v>
      </c>
      <c r="AC133" s="405">
        <v>42699</v>
      </c>
      <c r="AD133" s="405">
        <v>42880</v>
      </c>
      <c r="AE133" s="405">
        <v>45802</v>
      </c>
      <c r="AF133" s="368">
        <v>3036</v>
      </c>
      <c r="AG133" s="405">
        <v>45802</v>
      </c>
      <c r="AH133" s="368" t="s">
        <v>330</v>
      </c>
      <c r="AI133" s="368" t="s">
        <v>279</v>
      </c>
      <c r="AJ133" s="368" t="s">
        <v>79</v>
      </c>
      <c r="AK133" s="368" t="s">
        <v>79</v>
      </c>
      <c r="AL133" s="368" t="s">
        <v>343</v>
      </c>
      <c r="AM133" s="368" t="s">
        <v>343</v>
      </c>
      <c r="AN133" s="368" t="s">
        <v>280</v>
      </c>
    </row>
    <row r="134" spans="1:43" ht="12.95" customHeight="1">
      <c r="A134" s="402" t="str">
        <f t="shared" si="2"/>
        <v>QDBFIN0020150051</v>
      </c>
      <c r="B134" s="368" t="s">
        <v>226</v>
      </c>
      <c r="C134" s="368" t="s">
        <v>380</v>
      </c>
      <c r="D134" s="368" t="s">
        <v>608</v>
      </c>
      <c r="E134" s="368" t="s">
        <v>609</v>
      </c>
      <c r="F134" s="368" t="s">
        <v>610</v>
      </c>
      <c r="G134" s="368" t="s">
        <v>381</v>
      </c>
      <c r="H134" s="368" t="s">
        <v>382</v>
      </c>
      <c r="I134" s="394">
        <v>1000000</v>
      </c>
      <c r="J134" s="394">
        <v>100</v>
      </c>
      <c r="K134" s="395">
        <v>106.6</v>
      </c>
      <c r="L134" s="395">
        <v>106.7</v>
      </c>
      <c r="M134" s="396">
        <v>9.372071227741331E-4</v>
      </c>
      <c r="N134" s="368" t="s">
        <v>277</v>
      </c>
      <c r="O134" s="395">
        <v>106.73990000000001</v>
      </c>
      <c r="P134" s="394">
        <v>106739900</v>
      </c>
      <c r="Q134" s="394">
        <v>106739900</v>
      </c>
      <c r="R134" s="394">
        <v>106700000</v>
      </c>
      <c r="S134" s="394">
        <v>100000000</v>
      </c>
      <c r="T134" s="394">
        <v>-39900</v>
      </c>
      <c r="U134" s="394">
        <v>100000</v>
      </c>
      <c r="V134" s="396">
        <v>0.18720000000000001</v>
      </c>
      <c r="W134" s="396">
        <v>0.1875</v>
      </c>
      <c r="X134" s="394">
        <v>901833.33</v>
      </c>
      <c r="Y134" s="394">
        <v>0</v>
      </c>
      <c r="Z134" s="405">
        <v>42766</v>
      </c>
      <c r="AA134" s="368" t="s">
        <v>342</v>
      </c>
      <c r="AB134" s="397">
        <v>7.73</v>
      </c>
      <c r="AC134" s="405">
        <v>42723</v>
      </c>
      <c r="AD134" s="405">
        <v>42905</v>
      </c>
      <c r="AE134" s="405">
        <v>49297</v>
      </c>
      <c r="AF134" s="368">
        <v>6531</v>
      </c>
      <c r="AG134" s="405">
        <v>49297</v>
      </c>
      <c r="AH134" s="368" t="s">
        <v>330</v>
      </c>
      <c r="AI134" s="368" t="s">
        <v>279</v>
      </c>
      <c r="AJ134" s="368" t="s">
        <v>79</v>
      </c>
      <c r="AK134" s="368" t="s">
        <v>79</v>
      </c>
      <c r="AL134" s="368" t="s">
        <v>343</v>
      </c>
      <c r="AM134" s="368" t="s">
        <v>343</v>
      </c>
      <c r="AN134" s="368" t="s">
        <v>280</v>
      </c>
    </row>
    <row r="135" spans="1:43" ht="12.95" customHeight="1">
      <c r="A135" s="402" t="str">
        <f t="shared" si="2"/>
        <v>QDBFIN0020150093</v>
      </c>
      <c r="B135" s="368" t="s">
        <v>226</v>
      </c>
      <c r="C135" s="368" t="s">
        <v>380</v>
      </c>
      <c r="D135" s="368" t="s">
        <v>565</v>
      </c>
      <c r="E135" s="368" t="s">
        <v>566</v>
      </c>
      <c r="F135" s="368" t="s">
        <v>567</v>
      </c>
      <c r="G135" s="368" t="s">
        <v>381</v>
      </c>
      <c r="H135" s="368" t="s">
        <v>382</v>
      </c>
      <c r="I135" s="394">
        <v>500000</v>
      </c>
      <c r="J135" s="394">
        <v>100</v>
      </c>
      <c r="K135" s="395">
        <v>106.99</v>
      </c>
      <c r="L135" s="395">
        <v>107.02</v>
      </c>
      <c r="M135" s="396">
        <v>2.8032143524574845E-4</v>
      </c>
      <c r="N135" s="368" t="s">
        <v>277</v>
      </c>
      <c r="O135" s="395">
        <v>106.28489999999999</v>
      </c>
      <c r="P135" s="394">
        <v>53142450</v>
      </c>
      <c r="Q135" s="394">
        <v>53142450</v>
      </c>
      <c r="R135" s="394">
        <v>53510000</v>
      </c>
      <c r="S135" s="394">
        <v>50000000</v>
      </c>
      <c r="T135" s="394">
        <v>367550</v>
      </c>
      <c r="U135" s="394">
        <v>15000</v>
      </c>
      <c r="V135" s="396">
        <v>9.3899999999999997E-2</v>
      </c>
      <c r="W135" s="396">
        <v>9.4E-2</v>
      </c>
      <c r="X135" s="394">
        <v>210833.33</v>
      </c>
      <c r="Y135" s="394">
        <v>0</v>
      </c>
      <c r="Z135" s="405">
        <v>42766</v>
      </c>
      <c r="AA135" s="368" t="s">
        <v>342</v>
      </c>
      <c r="AB135" s="397">
        <v>7.59</v>
      </c>
      <c r="AC135" s="405">
        <v>42746</v>
      </c>
      <c r="AD135" s="405">
        <v>42927</v>
      </c>
      <c r="AE135" s="405">
        <v>46033</v>
      </c>
      <c r="AF135" s="368">
        <v>3267</v>
      </c>
      <c r="AG135" s="405">
        <v>46033</v>
      </c>
      <c r="AH135" s="368" t="s">
        <v>330</v>
      </c>
      <c r="AI135" s="368" t="s">
        <v>279</v>
      </c>
      <c r="AJ135" s="368" t="s">
        <v>79</v>
      </c>
      <c r="AK135" s="368" t="s">
        <v>79</v>
      </c>
      <c r="AL135" s="368" t="s">
        <v>343</v>
      </c>
      <c r="AM135" s="368" t="s">
        <v>343</v>
      </c>
      <c r="AN135" s="368" t="s">
        <v>280</v>
      </c>
    </row>
    <row r="136" spans="1:43" ht="12.95" customHeight="1">
      <c r="A136" s="402" t="str">
        <f t="shared" si="2"/>
        <v>QDBFIN0020160019</v>
      </c>
      <c r="B136" s="368" t="s">
        <v>226</v>
      </c>
      <c r="C136" s="368" t="s">
        <v>380</v>
      </c>
      <c r="D136" s="368" t="s">
        <v>582</v>
      </c>
      <c r="E136" s="368" t="s">
        <v>583</v>
      </c>
      <c r="F136" s="368" t="s">
        <v>584</v>
      </c>
      <c r="G136" s="368" t="s">
        <v>381</v>
      </c>
      <c r="H136" s="368" t="s">
        <v>382</v>
      </c>
      <c r="I136" s="394">
        <v>1500000</v>
      </c>
      <c r="J136" s="394">
        <v>100</v>
      </c>
      <c r="K136" s="395">
        <v>107.75749999999999</v>
      </c>
      <c r="L136" s="395">
        <v>107.69750000000001</v>
      </c>
      <c r="M136" s="396">
        <v>-5.5711599619304066E-4</v>
      </c>
      <c r="N136" s="368" t="s">
        <v>277</v>
      </c>
      <c r="O136" s="395">
        <v>107.23219166666667</v>
      </c>
      <c r="P136" s="394">
        <v>160848287.5</v>
      </c>
      <c r="Q136" s="394">
        <v>160848287.5</v>
      </c>
      <c r="R136" s="394">
        <v>161546250</v>
      </c>
      <c r="S136" s="394">
        <v>150000000</v>
      </c>
      <c r="T136" s="394">
        <v>697962.5</v>
      </c>
      <c r="U136" s="394">
        <v>-90000</v>
      </c>
      <c r="V136" s="396">
        <v>0.28349999999999997</v>
      </c>
      <c r="W136" s="396">
        <v>0.28389999999999999</v>
      </c>
      <c r="X136" s="394">
        <v>2600083.33</v>
      </c>
      <c r="Y136" s="394">
        <v>0</v>
      </c>
      <c r="Z136" s="405">
        <v>42766</v>
      </c>
      <c r="AA136" s="368" t="s">
        <v>342</v>
      </c>
      <c r="AB136" s="397">
        <v>7.61</v>
      </c>
      <c r="AC136" s="405">
        <v>42683</v>
      </c>
      <c r="AD136" s="405">
        <v>42864</v>
      </c>
      <c r="AE136" s="405">
        <v>47612</v>
      </c>
      <c r="AF136" s="368">
        <v>4846</v>
      </c>
      <c r="AG136" s="405">
        <v>47612</v>
      </c>
      <c r="AH136" s="368" t="s">
        <v>330</v>
      </c>
      <c r="AI136" s="368" t="s">
        <v>279</v>
      </c>
      <c r="AJ136" s="368" t="s">
        <v>79</v>
      </c>
      <c r="AK136" s="368" t="s">
        <v>79</v>
      </c>
      <c r="AL136" s="368" t="s">
        <v>343</v>
      </c>
      <c r="AM136" s="368" t="s">
        <v>343</v>
      </c>
      <c r="AN136" s="368" t="s">
        <v>280</v>
      </c>
    </row>
    <row r="137" spans="1:43" ht="12.95" customHeight="1">
      <c r="A137" s="402" t="str">
        <f t="shared" si="2"/>
        <v>QDBF</v>
      </c>
      <c r="B137" s="368" t="s">
        <v>226</v>
      </c>
      <c r="C137" s="368" t="s">
        <v>380</v>
      </c>
      <c r="D137" s="273"/>
      <c r="E137" s="273"/>
      <c r="F137" s="273"/>
      <c r="G137" s="401" t="s">
        <v>383</v>
      </c>
      <c r="H137" s="273"/>
      <c r="I137" s="273"/>
      <c r="J137" s="273"/>
      <c r="K137" s="273"/>
      <c r="L137" s="273"/>
      <c r="M137" s="273"/>
      <c r="N137" s="273"/>
      <c r="O137" s="273"/>
      <c r="P137" s="274">
        <v>374151212.5</v>
      </c>
      <c r="Q137" s="370">
        <v>374151212.5</v>
      </c>
      <c r="R137" s="370">
        <v>374901250</v>
      </c>
      <c r="S137" s="273"/>
      <c r="T137" s="370">
        <v>750037.5</v>
      </c>
      <c r="U137" s="370">
        <v>-10000</v>
      </c>
      <c r="V137" s="371">
        <v>0.65790000000000004</v>
      </c>
      <c r="W137" s="371">
        <v>0.65880000000000005</v>
      </c>
      <c r="X137" s="370">
        <v>4420416.66</v>
      </c>
      <c r="Y137" s="370">
        <v>0</v>
      </c>
      <c r="Z137" s="273"/>
      <c r="AA137" s="273"/>
      <c r="AB137" s="273"/>
      <c r="AC137" s="273"/>
      <c r="AD137" s="273"/>
      <c r="AE137" s="273"/>
      <c r="AF137" s="273"/>
      <c r="AG137" s="273"/>
      <c r="AH137" s="273"/>
      <c r="AI137" s="273"/>
      <c r="AJ137" s="273"/>
      <c r="AK137" s="273"/>
      <c r="AL137" s="273"/>
      <c r="AM137" s="273"/>
      <c r="AN137" s="273"/>
    </row>
    <row r="138" spans="1:43" ht="12.95" customHeight="1">
      <c r="A138" s="402" t="str">
        <f t="shared" si="2"/>
        <v>QDBFIN002016Y130</v>
      </c>
      <c r="B138" s="368" t="s">
        <v>226</v>
      </c>
      <c r="C138" s="368" t="s">
        <v>380</v>
      </c>
      <c r="D138" s="368" t="s">
        <v>611</v>
      </c>
      <c r="E138" s="368" t="s">
        <v>612</v>
      </c>
      <c r="F138" s="368" t="s">
        <v>613</v>
      </c>
      <c r="G138" s="368" t="s">
        <v>340</v>
      </c>
      <c r="H138" s="368" t="s">
        <v>341</v>
      </c>
      <c r="I138" s="394">
        <v>51600</v>
      </c>
      <c r="J138" s="394">
        <v>100</v>
      </c>
      <c r="K138" s="395">
        <v>99.143900000000002</v>
      </c>
      <c r="L138" s="395">
        <v>99.165899999999993</v>
      </c>
      <c r="M138" s="396">
        <v>2.2185045464217035E-4</v>
      </c>
      <c r="N138" s="368" t="s">
        <v>277</v>
      </c>
      <c r="O138" s="395">
        <v>98.908457170542633</v>
      </c>
      <c r="P138" s="394">
        <v>5103676.3899999997</v>
      </c>
      <c r="Q138" s="394">
        <v>5116674.1900000004</v>
      </c>
      <c r="R138" s="394">
        <v>5116960.4400000004</v>
      </c>
      <c r="S138" s="394">
        <v>5160000</v>
      </c>
      <c r="T138" s="394">
        <v>286.25</v>
      </c>
      <c r="U138" s="394">
        <v>268.68</v>
      </c>
      <c r="V138" s="396">
        <v>8.9999999999999993E-3</v>
      </c>
      <c r="W138" s="396">
        <v>8.9999999999999993E-3</v>
      </c>
      <c r="X138" s="394">
        <v>0</v>
      </c>
      <c r="Y138" s="394">
        <v>12997.8</v>
      </c>
      <c r="Z138" s="405">
        <v>42766</v>
      </c>
      <c r="AA138" s="368" t="s">
        <v>342</v>
      </c>
      <c r="AB138" s="397"/>
      <c r="AC138" s="405"/>
      <c r="AD138" s="405">
        <v>42817</v>
      </c>
      <c r="AE138" s="405">
        <v>42817</v>
      </c>
      <c r="AF138" s="368">
        <v>51</v>
      </c>
      <c r="AG138" s="405">
        <v>42817</v>
      </c>
      <c r="AH138" s="368" t="s">
        <v>330</v>
      </c>
      <c r="AI138" s="368" t="s">
        <v>279</v>
      </c>
      <c r="AJ138" s="368" t="s">
        <v>79</v>
      </c>
      <c r="AK138" s="368" t="s">
        <v>79</v>
      </c>
      <c r="AL138" s="368" t="s">
        <v>343</v>
      </c>
      <c r="AM138" s="368" t="s">
        <v>343</v>
      </c>
      <c r="AN138" s="368" t="s">
        <v>280</v>
      </c>
    </row>
    <row r="139" spans="1:43" ht="12.95" customHeight="1">
      <c r="A139" s="402" t="str">
        <f t="shared" si="2"/>
        <v>QDBF</v>
      </c>
      <c r="B139" s="368" t="s">
        <v>226</v>
      </c>
      <c r="C139" s="368" t="s">
        <v>380</v>
      </c>
      <c r="D139" s="273"/>
      <c r="E139" s="273"/>
      <c r="F139" s="273"/>
      <c r="G139" s="401" t="s">
        <v>344</v>
      </c>
      <c r="H139" s="273"/>
      <c r="I139" s="273"/>
      <c r="J139" s="273"/>
      <c r="K139" s="273"/>
      <c r="L139" s="273"/>
      <c r="M139" s="273"/>
      <c r="N139" s="273"/>
      <c r="O139" s="273"/>
      <c r="P139" s="274">
        <v>5103676.3899999997</v>
      </c>
      <c r="Q139" s="370">
        <v>5116674.1900000004</v>
      </c>
      <c r="R139" s="370">
        <v>5116960.4400000004</v>
      </c>
      <c r="S139" s="273"/>
      <c r="T139" s="370">
        <v>286.25</v>
      </c>
      <c r="U139" s="370">
        <v>268.68</v>
      </c>
      <c r="V139" s="371">
        <v>8.9999999999999993E-3</v>
      </c>
      <c r="W139" s="371">
        <v>8.9999999999999993E-3</v>
      </c>
      <c r="X139" s="370">
        <v>0</v>
      </c>
      <c r="Y139" s="370">
        <v>12997.8</v>
      </c>
      <c r="Z139" s="273"/>
      <c r="AA139" s="273"/>
      <c r="AB139" s="273"/>
      <c r="AC139" s="273"/>
      <c r="AD139" s="273"/>
      <c r="AE139" s="273"/>
      <c r="AF139" s="273"/>
      <c r="AG139" s="273"/>
      <c r="AH139" s="273"/>
      <c r="AI139" s="273"/>
      <c r="AJ139" s="273"/>
      <c r="AK139" s="273"/>
      <c r="AL139" s="273"/>
      <c r="AM139" s="273"/>
      <c r="AN139" s="273"/>
    </row>
    <row r="140" spans="1:43" ht="12.95" customHeight="1">
      <c r="A140" s="402" t="str">
        <f t="shared" si="2"/>
        <v>QDBFCash &amp; Cash Equivalent:</v>
      </c>
      <c r="B140" s="368" t="s">
        <v>226</v>
      </c>
      <c r="C140" s="368" t="s">
        <v>380</v>
      </c>
      <c r="D140" s="401" t="s">
        <v>326</v>
      </c>
      <c r="E140" s="401" t="s">
        <v>326</v>
      </c>
      <c r="F140" s="401" t="s">
        <v>326</v>
      </c>
      <c r="G140" s="273"/>
      <c r="H140" s="273"/>
      <c r="I140" s="273"/>
      <c r="J140" s="273"/>
      <c r="K140" s="273"/>
      <c r="L140" s="273"/>
      <c r="M140" s="273"/>
      <c r="N140" s="273"/>
      <c r="O140" s="273"/>
      <c r="P140" s="273"/>
      <c r="Q140" s="273"/>
      <c r="R140" s="370">
        <v>819518.13000004995</v>
      </c>
      <c r="S140" s="273">
        <f>ROUND(R140/100000,2)</f>
        <v>8.1999999999999993</v>
      </c>
      <c r="T140" s="273"/>
      <c r="U140" s="273"/>
      <c r="V140" s="371">
        <v>1.4E-3</v>
      </c>
      <c r="W140" s="273"/>
      <c r="X140" s="273"/>
      <c r="Y140" s="273"/>
      <c r="Z140" s="273"/>
      <c r="AA140" s="273"/>
      <c r="AB140" s="273"/>
      <c r="AC140" s="273"/>
      <c r="AD140" s="273"/>
      <c r="AE140" s="273"/>
      <c r="AF140" s="273"/>
      <c r="AG140" s="273"/>
      <c r="AH140" s="273"/>
      <c r="AI140" s="273"/>
      <c r="AJ140" s="273"/>
      <c r="AK140" s="273"/>
      <c r="AL140" s="273"/>
      <c r="AM140" s="273"/>
      <c r="AN140" s="273"/>
    </row>
    <row r="141" spans="1:43" ht="12.95" customHeight="1">
      <c r="A141" s="402" t="str">
        <f t="shared" si="2"/>
        <v>QDBFNet Asset:</v>
      </c>
      <c r="B141" s="368" t="s">
        <v>226</v>
      </c>
      <c r="C141" s="368" t="s">
        <v>380</v>
      </c>
      <c r="D141" s="401" t="s">
        <v>327</v>
      </c>
      <c r="E141" s="401" t="s">
        <v>327</v>
      </c>
      <c r="F141" s="401" t="s">
        <v>327</v>
      </c>
      <c r="G141" s="273"/>
      <c r="H141" s="273"/>
      <c r="I141" s="273"/>
      <c r="J141" s="273"/>
      <c r="K141" s="273"/>
      <c r="L141" s="273"/>
      <c r="M141" s="273"/>
      <c r="N141" s="273"/>
      <c r="O141" s="273"/>
      <c r="P141" s="273"/>
      <c r="Q141" s="273"/>
      <c r="R141" s="370">
        <v>569829941.57000005</v>
      </c>
      <c r="S141" s="273">
        <f>ROUND(R141/100000,2)</f>
        <v>5698.3</v>
      </c>
      <c r="T141" s="273"/>
      <c r="U141" s="273"/>
      <c r="V141" s="371">
        <v>1</v>
      </c>
      <c r="W141" s="273"/>
      <c r="X141" s="273"/>
      <c r="Y141" s="273"/>
      <c r="Z141" s="273"/>
      <c r="AA141" s="273"/>
      <c r="AB141" s="273"/>
      <c r="AC141" s="273"/>
      <c r="AD141" s="273"/>
      <c r="AE141" s="273"/>
      <c r="AF141" s="273"/>
      <c r="AG141" s="273"/>
      <c r="AH141" s="273"/>
      <c r="AI141" s="273"/>
      <c r="AJ141" s="273"/>
      <c r="AK141" s="273"/>
      <c r="AL141" s="273"/>
      <c r="AM141" s="273"/>
      <c r="AN141" s="273"/>
    </row>
    <row r="142" spans="1:43" ht="12.95" customHeight="1">
      <c r="A142" s="402" t="str">
        <f t="shared" si="2"/>
        <v/>
      </c>
      <c r="B142" s="275" t="s">
        <v>79</v>
      </c>
      <c r="C142" s="273"/>
      <c r="D142" s="273"/>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row>
    <row r="143" spans="1:43" ht="12.95" customHeight="1">
      <c r="A143" s="402" t="str">
        <f t="shared" si="2"/>
        <v>QEFFCBL_010217</v>
      </c>
      <c r="B143" s="368" t="s">
        <v>384</v>
      </c>
      <c r="C143" s="368" t="s">
        <v>385</v>
      </c>
      <c r="D143" s="368" t="s">
        <v>607</v>
      </c>
      <c r="E143" s="368" t="s">
        <v>607</v>
      </c>
      <c r="F143" s="368" t="s">
        <v>607</v>
      </c>
      <c r="G143" s="368" t="s">
        <v>329</v>
      </c>
      <c r="H143" s="368" t="s">
        <v>329</v>
      </c>
      <c r="I143" s="394">
        <v>42980</v>
      </c>
      <c r="J143" s="394">
        <v>100</v>
      </c>
      <c r="K143" s="395">
        <v>0</v>
      </c>
      <c r="L143" s="395">
        <v>100</v>
      </c>
      <c r="M143" s="396">
        <v>1</v>
      </c>
      <c r="N143" s="368" t="s">
        <v>277</v>
      </c>
      <c r="O143" s="395">
        <v>99.983019311307586</v>
      </c>
      <c r="P143" s="394">
        <v>4297270.17</v>
      </c>
      <c r="Q143" s="394">
        <v>4298000</v>
      </c>
      <c r="R143" s="394">
        <v>4298000</v>
      </c>
      <c r="S143" s="394">
        <v>4298000</v>
      </c>
      <c r="T143" s="394">
        <v>0</v>
      </c>
      <c r="U143" s="394">
        <v>0</v>
      </c>
      <c r="V143" s="396">
        <v>3.7600000000000001E-2</v>
      </c>
      <c r="W143" s="396">
        <v>3.7600000000000001E-2</v>
      </c>
      <c r="X143" s="394">
        <v>0</v>
      </c>
      <c r="Y143" s="394">
        <v>729.83</v>
      </c>
      <c r="Z143" s="405">
        <v>42766</v>
      </c>
      <c r="AA143" s="368" t="s">
        <v>278</v>
      </c>
      <c r="AB143" s="397"/>
      <c r="AC143" s="405"/>
      <c r="AD143" s="405">
        <v>42767</v>
      </c>
      <c r="AE143" s="405">
        <v>42767</v>
      </c>
      <c r="AF143" s="368">
        <v>1</v>
      </c>
      <c r="AG143" s="405">
        <v>42767</v>
      </c>
      <c r="AH143" s="368" t="s">
        <v>330</v>
      </c>
      <c r="AI143" s="368" t="s">
        <v>331</v>
      </c>
      <c r="AJ143" s="368" t="s">
        <v>79</v>
      </c>
      <c r="AK143" s="368" t="s">
        <v>79</v>
      </c>
      <c r="AL143" s="368" t="s">
        <v>510</v>
      </c>
      <c r="AM143" s="368" t="s">
        <v>332</v>
      </c>
      <c r="AN143" s="368" t="s">
        <v>280</v>
      </c>
    </row>
    <row r="144" spans="1:43" ht="12.95" customHeight="1">
      <c r="A144" s="402" t="str">
        <f t="shared" si="2"/>
        <v>QEFF</v>
      </c>
      <c r="B144" s="368" t="s">
        <v>384</v>
      </c>
      <c r="C144" s="368" t="s">
        <v>385</v>
      </c>
      <c r="D144" s="273"/>
      <c r="E144" s="273"/>
      <c r="F144" s="273"/>
      <c r="G144" s="401" t="s">
        <v>333</v>
      </c>
      <c r="H144" s="273"/>
      <c r="I144" s="273"/>
      <c r="J144" s="273"/>
      <c r="K144" s="273"/>
      <c r="L144" s="273"/>
      <c r="M144" s="273"/>
      <c r="N144" s="273"/>
      <c r="O144" s="273"/>
      <c r="P144" s="274">
        <v>4297270.17</v>
      </c>
      <c r="Q144" s="370">
        <v>4298000</v>
      </c>
      <c r="R144" s="370">
        <v>4298000</v>
      </c>
      <c r="S144" s="273"/>
      <c r="T144" s="370">
        <v>0</v>
      </c>
      <c r="U144" s="370">
        <v>0</v>
      </c>
      <c r="V144" s="371">
        <v>3.7600000000000001E-2</v>
      </c>
      <c r="W144" s="371">
        <v>3.7600000000000001E-2</v>
      </c>
      <c r="X144" s="370">
        <v>0</v>
      </c>
      <c r="Y144" s="370">
        <v>729.83</v>
      </c>
      <c r="Z144" s="273"/>
      <c r="AA144" s="273"/>
      <c r="AB144" s="273"/>
      <c r="AC144" s="273"/>
      <c r="AD144" s="273"/>
      <c r="AE144" s="273"/>
      <c r="AF144" s="273"/>
      <c r="AG144" s="273"/>
      <c r="AH144" s="273"/>
      <c r="AI144" s="273"/>
      <c r="AJ144" s="273"/>
      <c r="AK144" s="273"/>
      <c r="AL144" s="273"/>
      <c r="AM144" s="273"/>
      <c r="AN144" s="273"/>
    </row>
    <row r="145" spans="1:40" ht="12.95" customHeight="1">
      <c r="A145" s="402" t="str">
        <f t="shared" si="2"/>
        <v>QEFFINF090I01FK3</v>
      </c>
      <c r="B145" s="368" t="s">
        <v>384</v>
      </c>
      <c r="C145" s="368" t="s">
        <v>385</v>
      </c>
      <c r="D145" s="368" t="s">
        <v>504</v>
      </c>
      <c r="E145" s="368" t="s">
        <v>505</v>
      </c>
      <c r="F145" s="368" t="s">
        <v>506</v>
      </c>
      <c r="G145" s="368" t="s">
        <v>386</v>
      </c>
      <c r="H145" s="368" t="s">
        <v>387</v>
      </c>
      <c r="I145" s="394">
        <v>30872.2176</v>
      </c>
      <c r="J145" s="394">
        <v>10</v>
      </c>
      <c r="K145" s="395">
        <v>504.35950000000003</v>
      </c>
      <c r="L145" s="395">
        <v>499.32</v>
      </c>
      <c r="M145" s="396">
        <v>-1.0092726107506209E-2</v>
      </c>
      <c r="N145" s="368" t="s">
        <v>277</v>
      </c>
      <c r="O145" s="395">
        <v>494.4575128286217</v>
      </c>
      <c r="P145" s="394">
        <v>15264999.93</v>
      </c>
      <c r="Q145" s="394">
        <v>15264999.93</v>
      </c>
      <c r="R145" s="394">
        <v>15415115.689999999</v>
      </c>
      <c r="S145" s="394">
        <v>308722.17599999998</v>
      </c>
      <c r="T145" s="394">
        <v>150115.76</v>
      </c>
      <c r="U145" s="394">
        <v>-155580.54</v>
      </c>
      <c r="V145" s="396">
        <v>0.13469999999999999</v>
      </c>
      <c r="W145" s="396">
        <v>0.1348</v>
      </c>
      <c r="X145" s="394">
        <v>0</v>
      </c>
      <c r="Y145" s="394">
        <v>0</v>
      </c>
      <c r="Z145" s="405">
        <v>42766</v>
      </c>
      <c r="AA145" s="368" t="s">
        <v>278</v>
      </c>
      <c r="AB145" s="397"/>
      <c r="AC145" s="405"/>
      <c r="AD145" s="405"/>
      <c r="AE145" s="405"/>
      <c r="AF145" s="368"/>
      <c r="AG145" s="405"/>
      <c r="AH145" s="368" t="s">
        <v>79</v>
      </c>
      <c r="AI145" s="368" t="s">
        <v>279</v>
      </c>
      <c r="AJ145" s="368" t="s">
        <v>79</v>
      </c>
      <c r="AK145" s="368" t="s">
        <v>79</v>
      </c>
      <c r="AL145" s="368" t="s">
        <v>510</v>
      </c>
      <c r="AM145" s="368" t="s">
        <v>388</v>
      </c>
      <c r="AN145" s="368" t="s">
        <v>280</v>
      </c>
    </row>
    <row r="146" spans="1:40" ht="12.95" customHeight="1">
      <c r="A146" s="402" t="str">
        <f t="shared" si="2"/>
        <v>QEFFINF090I01IW2</v>
      </c>
      <c r="B146" s="368" t="s">
        <v>384</v>
      </c>
      <c r="C146" s="368" t="s">
        <v>385</v>
      </c>
      <c r="D146" s="368" t="s">
        <v>432</v>
      </c>
      <c r="E146" s="368" t="s">
        <v>205</v>
      </c>
      <c r="F146" s="368" t="s">
        <v>229</v>
      </c>
      <c r="G146" s="368" t="s">
        <v>386</v>
      </c>
      <c r="H146" s="368" t="s">
        <v>387</v>
      </c>
      <c r="I146" s="394">
        <v>462193.39429999999</v>
      </c>
      <c r="J146" s="394">
        <v>10</v>
      </c>
      <c r="K146" s="395">
        <v>34.094999999999999</v>
      </c>
      <c r="L146" s="395">
        <v>33.8964</v>
      </c>
      <c r="M146" s="396">
        <v>-5.8590292774453922E-3</v>
      </c>
      <c r="N146" s="368" t="s">
        <v>277</v>
      </c>
      <c r="O146" s="395">
        <v>28.837765845153275</v>
      </c>
      <c r="P146" s="394">
        <v>13328624.880000001</v>
      </c>
      <c r="Q146" s="394">
        <v>13328624.880000001</v>
      </c>
      <c r="R146" s="394">
        <v>15666692.17</v>
      </c>
      <c r="S146" s="394">
        <v>4621933.943</v>
      </c>
      <c r="T146" s="394">
        <v>2338067.29</v>
      </c>
      <c r="U146" s="394">
        <v>-91791.61</v>
      </c>
      <c r="V146" s="396">
        <v>0.13689999999999999</v>
      </c>
      <c r="W146" s="396">
        <v>0.13700000000000001</v>
      </c>
      <c r="X146" s="394">
        <v>0</v>
      </c>
      <c r="Y146" s="394">
        <v>0</v>
      </c>
      <c r="Z146" s="405">
        <v>42766</v>
      </c>
      <c r="AA146" s="368" t="s">
        <v>278</v>
      </c>
      <c r="AB146" s="397"/>
      <c r="AC146" s="405"/>
      <c r="AD146" s="405"/>
      <c r="AE146" s="405"/>
      <c r="AF146" s="368"/>
      <c r="AG146" s="405"/>
      <c r="AH146" s="368" t="s">
        <v>79</v>
      </c>
      <c r="AI146" s="368" t="s">
        <v>279</v>
      </c>
      <c r="AJ146" s="368" t="s">
        <v>79</v>
      </c>
      <c r="AK146" s="368" t="s">
        <v>79</v>
      </c>
      <c r="AL146" s="368" t="s">
        <v>510</v>
      </c>
      <c r="AM146" s="368" t="s">
        <v>388</v>
      </c>
      <c r="AN146" s="368" t="s">
        <v>280</v>
      </c>
    </row>
    <row r="147" spans="1:40" ht="12.95" customHeight="1">
      <c r="A147" s="402" t="str">
        <f t="shared" si="2"/>
        <v>QEFFINF769K01AX2</v>
      </c>
      <c r="B147" s="368" t="s">
        <v>384</v>
      </c>
      <c r="C147" s="368" t="s">
        <v>385</v>
      </c>
      <c r="D147" s="368" t="s">
        <v>433</v>
      </c>
      <c r="E147" s="368" t="s">
        <v>200</v>
      </c>
      <c r="F147" s="368" t="s">
        <v>230</v>
      </c>
      <c r="G147" s="368" t="s">
        <v>386</v>
      </c>
      <c r="H147" s="368" t="s">
        <v>387</v>
      </c>
      <c r="I147" s="394">
        <v>417333.98790000001</v>
      </c>
      <c r="J147" s="394">
        <v>10</v>
      </c>
      <c r="K147" s="395">
        <v>38.584000000000003</v>
      </c>
      <c r="L147" s="395">
        <v>38.195</v>
      </c>
      <c r="M147" s="396">
        <v>-1.0184579133394423E-2</v>
      </c>
      <c r="N147" s="368" t="s">
        <v>277</v>
      </c>
      <c r="O147" s="395">
        <v>32.556748944338736</v>
      </c>
      <c r="P147" s="394">
        <v>13587037.869999999</v>
      </c>
      <c r="Q147" s="394">
        <v>13587037.869999999</v>
      </c>
      <c r="R147" s="394">
        <v>15940071.67</v>
      </c>
      <c r="S147" s="394">
        <v>4173339.8790000002</v>
      </c>
      <c r="T147" s="394">
        <v>2353033.7999999998</v>
      </c>
      <c r="U147" s="394">
        <v>-162342.92000000001</v>
      </c>
      <c r="V147" s="396">
        <v>0.13930000000000001</v>
      </c>
      <c r="W147" s="396">
        <v>0.1394</v>
      </c>
      <c r="X147" s="394">
        <v>0</v>
      </c>
      <c r="Y147" s="394">
        <v>0</v>
      </c>
      <c r="Z147" s="405">
        <v>42766</v>
      </c>
      <c r="AA147" s="368" t="s">
        <v>278</v>
      </c>
      <c r="AB147" s="397"/>
      <c r="AC147" s="405"/>
      <c r="AD147" s="405"/>
      <c r="AE147" s="405"/>
      <c r="AF147" s="368"/>
      <c r="AG147" s="405"/>
      <c r="AH147" s="368" t="s">
        <v>79</v>
      </c>
      <c r="AI147" s="368" t="s">
        <v>279</v>
      </c>
      <c r="AJ147" s="368" t="s">
        <v>79</v>
      </c>
      <c r="AK147" s="368" t="s">
        <v>79</v>
      </c>
      <c r="AL147" s="368" t="s">
        <v>510</v>
      </c>
      <c r="AM147" s="368" t="s">
        <v>389</v>
      </c>
      <c r="AN147" s="368" t="s">
        <v>280</v>
      </c>
    </row>
    <row r="148" spans="1:40" ht="12.95" customHeight="1">
      <c r="A148" s="402" t="str">
        <f t="shared" si="2"/>
        <v>QEFFINF179K01XQ0</v>
      </c>
      <c r="B148" s="368" t="s">
        <v>384</v>
      </c>
      <c r="C148" s="368" t="s">
        <v>385</v>
      </c>
      <c r="D148" s="368" t="s">
        <v>434</v>
      </c>
      <c r="E148" s="368" t="s">
        <v>206</v>
      </c>
      <c r="F148" s="368" t="s">
        <v>231</v>
      </c>
      <c r="G148" s="368" t="s">
        <v>386</v>
      </c>
      <c r="H148" s="368" t="s">
        <v>387</v>
      </c>
      <c r="I148" s="394">
        <v>359459.15130000003</v>
      </c>
      <c r="J148" s="394">
        <v>10</v>
      </c>
      <c r="K148" s="395">
        <v>46.972000000000001</v>
      </c>
      <c r="L148" s="395">
        <v>46.57</v>
      </c>
      <c r="M148" s="396">
        <v>-8.6321666308782474E-3</v>
      </c>
      <c r="N148" s="368" t="s">
        <v>277</v>
      </c>
      <c r="O148" s="395">
        <v>37.409811271648657</v>
      </c>
      <c r="P148" s="394">
        <v>13447299.01</v>
      </c>
      <c r="Q148" s="394">
        <v>13447299.01</v>
      </c>
      <c r="R148" s="394">
        <v>16740012.68</v>
      </c>
      <c r="S148" s="394">
        <v>3594591.5129999998</v>
      </c>
      <c r="T148" s="394">
        <v>3292713.67</v>
      </c>
      <c r="U148" s="394">
        <v>-144502.57</v>
      </c>
      <c r="V148" s="396">
        <v>0.14630000000000001</v>
      </c>
      <c r="W148" s="396">
        <v>0.1464</v>
      </c>
      <c r="X148" s="394">
        <v>0</v>
      </c>
      <c r="Y148" s="394">
        <v>0</v>
      </c>
      <c r="Z148" s="405">
        <v>42766</v>
      </c>
      <c r="AA148" s="368" t="s">
        <v>278</v>
      </c>
      <c r="AB148" s="397"/>
      <c r="AC148" s="405"/>
      <c r="AD148" s="405"/>
      <c r="AE148" s="405"/>
      <c r="AF148" s="368"/>
      <c r="AG148" s="405"/>
      <c r="AH148" s="368" t="s">
        <v>79</v>
      </c>
      <c r="AI148" s="368" t="s">
        <v>279</v>
      </c>
      <c r="AJ148" s="368" t="s">
        <v>79</v>
      </c>
      <c r="AK148" s="368" t="s">
        <v>79</v>
      </c>
      <c r="AL148" s="368" t="s">
        <v>510</v>
      </c>
      <c r="AM148" s="368" t="s">
        <v>390</v>
      </c>
      <c r="AN148" s="368" t="s">
        <v>280</v>
      </c>
    </row>
    <row r="149" spans="1:40" ht="12.95" customHeight="1">
      <c r="A149" s="402" t="str">
        <f t="shared" si="2"/>
        <v>QEFFINF209K01YY7</v>
      </c>
      <c r="B149" s="368" t="s">
        <v>384</v>
      </c>
      <c r="C149" s="368" t="s">
        <v>385</v>
      </c>
      <c r="D149" s="368" t="s">
        <v>435</v>
      </c>
      <c r="E149" s="368" t="s">
        <v>185</v>
      </c>
      <c r="F149" s="368" t="s">
        <v>232</v>
      </c>
      <c r="G149" s="368" t="s">
        <v>386</v>
      </c>
      <c r="H149" s="368" t="s">
        <v>387</v>
      </c>
      <c r="I149" s="394">
        <v>83616.338099999994</v>
      </c>
      <c r="J149" s="394">
        <v>100</v>
      </c>
      <c r="K149" s="395">
        <v>187.76</v>
      </c>
      <c r="L149" s="395">
        <v>185.76</v>
      </c>
      <c r="M149" s="396">
        <v>-1.0766580534022395E-2</v>
      </c>
      <c r="N149" s="368" t="s">
        <v>277</v>
      </c>
      <c r="O149" s="395">
        <v>136.42129922453518</v>
      </c>
      <c r="P149" s="394">
        <v>11407049.48</v>
      </c>
      <c r="Q149" s="394">
        <v>11407049.48</v>
      </c>
      <c r="R149" s="394">
        <v>15532570.970000001</v>
      </c>
      <c r="S149" s="394">
        <v>8361633.8099999996</v>
      </c>
      <c r="T149" s="394">
        <v>4125521.49</v>
      </c>
      <c r="U149" s="394">
        <v>-167232.67000000001</v>
      </c>
      <c r="V149" s="396">
        <v>0.13569999999999999</v>
      </c>
      <c r="W149" s="396">
        <v>0.1358</v>
      </c>
      <c r="X149" s="394">
        <v>0</v>
      </c>
      <c r="Y149" s="394">
        <v>0</v>
      </c>
      <c r="Z149" s="405">
        <v>42766</v>
      </c>
      <c r="AA149" s="368" t="s">
        <v>278</v>
      </c>
      <c r="AB149" s="397"/>
      <c r="AC149" s="405"/>
      <c r="AD149" s="405"/>
      <c r="AE149" s="405"/>
      <c r="AF149" s="368"/>
      <c r="AG149" s="405"/>
      <c r="AH149" s="368" t="s">
        <v>79</v>
      </c>
      <c r="AI149" s="368" t="s">
        <v>279</v>
      </c>
      <c r="AJ149" s="368" t="s">
        <v>79</v>
      </c>
      <c r="AK149" s="368" t="s">
        <v>79</v>
      </c>
      <c r="AL149" s="368" t="s">
        <v>510</v>
      </c>
      <c r="AM149" s="368" t="s">
        <v>391</v>
      </c>
      <c r="AN149" s="368" t="s">
        <v>280</v>
      </c>
    </row>
    <row r="150" spans="1:40" ht="12.95" customHeight="1">
      <c r="A150" s="402" t="str">
        <f t="shared" si="2"/>
        <v>QEFFINF200K01UJ5</v>
      </c>
      <c r="B150" s="368" t="s">
        <v>384</v>
      </c>
      <c r="C150" s="368" t="s">
        <v>385</v>
      </c>
      <c r="D150" s="368" t="s">
        <v>436</v>
      </c>
      <c r="E150" s="368" t="s">
        <v>208</v>
      </c>
      <c r="F150" s="368" t="s">
        <v>585</v>
      </c>
      <c r="G150" s="368" t="s">
        <v>386</v>
      </c>
      <c r="H150" s="368" t="s">
        <v>387</v>
      </c>
      <c r="I150" s="394">
        <v>90634.136499999993</v>
      </c>
      <c r="J150" s="394">
        <v>10</v>
      </c>
      <c r="K150" s="395">
        <v>173.5615</v>
      </c>
      <c r="L150" s="395">
        <v>171.4863</v>
      </c>
      <c r="M150" s="396">
        <v>-1.2101258234622825E-2</v>
      </c>
      <c r="N150" s="368" t="s">
        <v>277</v>
      </c>
      <c r="O150" s="395">
        <v>151.53390676370597</v>
      </c>
      <c r="P150" s="394">
        <v>13734144.789999999</v>
      </c>
      <c r="Q150" s="394">
        <v>13734144.789999999</v>
      </c>
      <c r="R150" s="394">
        <v>15542512.720000001</v>
      </c>
      <c r="S150" s="394">
        <v>906341.36499999999</v>
      </c>
      <c r="T150" s="394">
        <v>1808367.93</v>
      </c>
      <c r="U150" s="394">
        <v>-188083.96</v>
      </c>
      <c r="V150" s="396">
        <v>0.1358</v>
      </c>
      <c r="W150" s="396">
        <v>0.13589999999999999</v>
      </c>
      <c r="X150" s="394">
        <v>0</v>
      </c>
      <c r="Y150" s="394">
        <v>0</v>
      </c>
      <c r="Z150" s="405">
        <v>42766</v>
      </c>
      <c r="AA150" s="368" t="s">
        <v>278</v>
      </c>
      <c r="AB150" s="397"/>
      <c r="AC150" s="405"/>
      <c r="AD150" s="405"/>
      <c r="AE150" s="405"/>
      <c r="AF150" s="368"/>
      <c r="AG150" s="405"/>
      <c r="AH150" s="368" t="s">
        <v>79</v>
      </c>
      <c r="AI150" s="368" t="s">
        <v>279</v>
      </c>
      <c r="AJ150" s="368" t="s">
        <v>79</v>
      </c>
      <c r="AK150" s="368" t="s">
        <v>79</v>
      </c>
      <c r="AL150" s="368" t="s">
        <v>510</v>
      </c>
      <c r="AM150" s="368" t="s">
        <v>392</v>
      </c>
      <c r="AN150" s="368" t="s">
        <v>280</v>
      </c>
    </row>
    <row r="151" spans="1:40" ht="12.95" customHeight="1">
      <c r="A151" s="402" t="str">
        <f t="shared" si="2"/>
        <v>QEFFINF109K016L0</v>
      </c>
      <c r="B151" s="368" t="s">
        <v>384</v>
      </c>
      <c r="C151" s="368" t="s">
        <v>385</v>
      </c>
      <c r="D151" s="368" t="s">
        <v>437</v>
      </c>
      <c r="E151" s="368" t="s">
        <v>207</v>
      </c>
      <c r="F151" s="368" t="s">
        <v>233</v>
      </c>
      <c r="G151" s="368" t="s">
        <v>386</v>
      </c>
      <c r="H151" s="368" t="s">
        <v>387</v>
      </c>
      <c r="I151" s="394">
        <v>457276.28639999998</v>
      </c>
      <c r="J151" s="394">
        <v>10</v>
      </c>
      <c r="K151" s="395">
        <v>33.630000000000003</v>
      </c>
      <c r="L151" s="395">
        <v>33.299999999999997</v>
      </c>
      <c r="M151" s="396">
        <v>-9.9099099099099093E-3</v>
      </c>
      <c r="N151" s="368" t="s">
        <v>277</v>
      </c>
      <c r="O151" s="395">
        <v>29.041258348532633</v>
      </c>
      <c r="P151" s="394">
        <v>13279878.77</v>
      </c>
      <c r="Q151" s="394">
        <v>13279878.77</v>
      </c>
      <c r="R151" s="394">
        <v>15227300.34</v>
      </c>
      <c r="S151" s="394">
        <v>4572762.8640000001</v>
      </c>
      <c r="T151" s="394">
        <v>1947421.57</v>
      </c>
      <c r="U151" s="394">
        <v>-150901.17000000001</v>
      </c>
      <c r="V151" s="396">
        <v>0.1331</v>
      </c>
      <c r="W151" s="396">
        <v>0.1331</v>
      </c>
      <c r="X151" s="394">
        <v>0</v>
      </c>
      <c r="Y151" s="394">
        <v>0</v>
      </c>
      <c r="Z151" s="405">
        <v>42766</v>
      </c>
      <c r="AA151" s="368" t="s">
        <v>278</v>
      </c>
      <c r="AB151" s="397"/>
      <c r="AC151" s="405"/>
      <c r="AD151" s="405"/>
      <c r="AE151" s="405"/>
      <c r="AF151" s="368"/>
      <c r="AG151" s="405"/>
      <c r="AH151" s="368" t="s">
        <v>79</v>
      </c>
      <c r="AI151" s="368" t="s">
        <v>279</v>
      </c>
      <c r="AJ151" s="368" t="s">
        <v>79</v>
      </c>
      <c r="AK151" s="368" t="s">
        <v>79</v>
      </c>
      <c r="AL151" s="368" t="s">
        <v>510</v>
      </c>
      <c r="AM151" s="368" t="s">
        <v>393</v>
      </c>
      <c r="AN151" s="368" t="s">
        <v>280</v>
      </c>
    </row>
    <row r="152" spans="1:40" ht="12.95" customHeight="1">
      <c r="A152" s="402" t="str">
        <f t="shared" si="2"/>
        <v>QEFF</v>
      </c>
      <c r="B152" s="368" t="s">
        <v>384</v>
      </c>
      <c r="C152" s="368" t="s">
        <v>385</v>
      </c>
      <c r="D152" s="273"/>
      <c r="E152" s="273"/>
      <c r="F152" s="273"/>
      <c r="G152" s="401" t="s">
        <v>394</v>
      </c>
      <c r="H152" s="273"/>
      <c r="I152" s="273"/>
      <c r="J152" s="273"/>
      <c r="K152" s="273"/>
      <c r="L152" s="273"/>
      <c r="M152" s="273"/>
      <c r="N152" s="273"/>
      <c r="O152" s="273"/>
      <c r="P152" s="274">
        <v>94049034.730000004</v>
      </c>
      <c r="Q152" s="370">
        <v>94049034.730000004</v>
      </c>
      <c r="R152" s="370">
        <v>110064276.23999999</v>
      </c>
      <c r="S152" s="273"/>
      <c r="T152" s="370">
        <v>16015241.51</v>
      </c>
      <c r="U152" s="370">
        <v>-1060435.44</v>
      </c>
      <c r="V152" s="371">
        <v>0.96179999999999999</v>
      </c>
      <c r="W152" s="371">
        <v>0.96240000000000003</v>
      </c>
      <c r="X152" s="370">
        <v>0</v>
      </c>
      <c r="Y152" s="370">
        <v>0</v>
      </c>
      <c r="Z152" s="273"/>
      <c r="AA152" s="273"/>
      <c r="AB152" s="273"/>
      <c r="AC152" s="273"/>
      <c r="AD152" s="273"/>
      <c r="AE152" s="273"/>
      <c r="AF152" s="273"/>
      <c r="AG152" s="273"/>
      <c r="AH152" s="273"/>
      <c r="AI152" s="273"/>
      <c r="AJ152" s="273"/>
      <c r="AK152" s="273"/>
      <c r="AL152" s="273"/>
      <c r="AM152" s="273"/>
      <c r="AN152" s="273"/>
    </row>
    <row r="153" spans="1:40" ht="12.95" customHeight="1">
      <c r="A153" s="402" t="str">
        <f t="shared" si="2"/>
        <v>QEFFCash &amp; Cash Equivalent:</v>
      </c>
      <c r="B153" s="368" t="s">
        <v>384</v>
      </c>
      <c r="C153" s="368" t="s">
        <v>385</v>
      </c>
      <c r="D153" s="401" t="s">
        <v>326</v>
      </c>
      <c r="E153" s="401" t="s">
        <v>326</v>
      </c>
      <c r="F153" s="401" t="s">
        <v>326</v>
      </c>
      <c r="G153" s="273"/>
      <c r="H153" s="273"/>
      <c r="I153" s="273"/>
      <c r="J153" s="273"/>
      <c r="K153" s="273"/>
      <c r="L153" s="273"/>
      <c r="M153" s="273"/>
      <c r="N153" s="273"/>
      <c r="O153" s="273"/>
      <c r="P153" s="273"/>
      <c r="Q153" s="273"/>
      <c r="R153" s="370">
        <v>72351.793022700003</v>
      </c>
      <c r="S153" s="273"/>
      <c r="T153" s="273"/>
      <c r="U153" s="273"/>
      <c r="V153" s="371">
        <v>5.9999999999999995E-4</v>
      </c>
      <c r="W153" s="273"/>
      <c r="X153" s="273"/>
      <c r="Y153" s="273"/>
      <c r="Z153" s="273"/>
      <c r="AA153" s="273"/>
      <c r="AB153" s="273"/>
      <c r="AC153" s="273"/>
      <c r="AD153" s="273"/>
      <c r="AE153" s="273"/>
      <c r="AF153" s="273"/>
      <c r="AG153" s="273"/>
      <c r="AH153" s="273"/>
      <c r="AI153" s="273"/>
      <c r="AJ153" s="273"/>
      <c r="AK153" s="273"/>
      <c r="AL153" s="273"/>
      <c r="AM153" s="273"/>
      <c r="AN153" s="273"/>
    </row>
    <row r="154" spans="1:40" ht="12.95" customHeight="1">
      <c r="A154" s="402" t="str">
        <f t="shared" si="2"/>
        <v>QEFFNet Asset:</v>
      </c>
      <c r="B154" s="368" t="s">
        <v>384</v>
      </c>
      <c r="C154" s="368" t="s">
        <v>385</v>
      </c>
      <c r="D154" s="401" t="s">
        <v>327</v>
      </c>
      <c r="E154" s="401" t="s">
        <v>327</v>
      </c>
      <c r="F154" s="401" t="s">
        <v>327</v>
      </c>
      <c r="G154" s="273"/>
      <c r="H154" s="273"/>
      <c r="I154" s="273"/>
      <c r="J154" s="273"/>
      <c r="K154" s="273"/>
      <c r="L154" s="273"/>
      <c r="M154" s="273"/>
      <c r="N154" s="273"/>
      <c r="O154" s="273"/>
      <c r="P154" s="273"/>
      <c r="Q154" s="273"/>
      <c r="R154" s="370">
        <v>114434628.0330227</v>
      </c>
      <c r="S154" s="273"/>
      <c r="T154" s="273"/>
      <c r="U154" s="273"/>
      <c r="V154" s="371">
        <v>1</v>
      </c>
      <c r="W154" s="273"/>
      <c r="X154" s="273"/>
      <c r="Y154" s="273"/>
      <c r="Z154" s="273"/>
      <c r="AA154" s="273"/>
      <c r="AB154" s="273"/>
      <c r="AC154" s="273"/>
      <c r="AD154" s="273"/>
      <c r="AE154" s="273"/>
      <c r="AF154" s="273"/>
      <c r="AG154" s="273"/>
      <c r="AH154" s="273"/>
      <c r="AI154" s="273"/>
      <c r="AJ154" s="273"/>
      <c r="AK154" s="273"/>
      <c r="AL154" s="273"/>
      <c r="AM154" s="273"/>
      <c r="AN154" s="273"/>
    </row>
    <row r="155" spans="1:40" ht="12.95" customHeight="1">
      <c r="A155" s="402" t="str">
        <f t="shared" si="2"/>
        <v/>
      </c>
      <c r="B155" s="275" t="s">
        <v>79</v>
      </c>
      <c r="C155" s="273"/>
      <c r="D155" s="273"/>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row>
    <row r="156" spans="1:40" ht="12.95" customHeight="1">
      <c r="A156" s="402" t="str">
        <f t="shared" si="2"/>
        <v>QGSFCBL_010217</v>
      </c>
      <c r="B156" s="368" t="s">
        <v>164</v>
      </c>
      <c r="C156" s="368" t="s">
        <v>395</v>
      </c>
      <c r="D156" s="368" t="s">
        <v>607</v>
      </c>
      <c r="E156" s="368" t="s">
        <v>607</v>
      </c>
      <c r="F156" s="368" t="s">
        <v>607</v>
      </c>
      <c r="G156" s="368" t="s">
        <v>329</v>
      </c>
      <c r="H156" s="368" t="s">
        <v>329</v>
      </c>
      <c r="I156" s="394">
        <v>7360</v>
      </c>
      <c r="J156" s="394">
        <v>100</v>
      </c>
      <c r="K156" s="395">
        <v>0</v>
      </c>
      <c r="L156" s="395">
        <v>100</v>
      </c>
      <c r="M156" s="396">
        <v>1</v>
      </c>
      <c r="N156" s="368" t="s">
        <v>277</v>
      </c>
      <c r="O156" s="395">
        <v>99.983019021739125</v>
      </c>
      <c r="P156" s="394">
        <v>735875.02</v>
      </c>
      <c r="Q156" s="394">
        <v>736000</v>
      </c>
      <c r="R156" s="394">
        <v>736000</v>
      </c>
      <c r="S156" s="394">
        <v>736000</v>
      </c>
      <c r="T156" s="394">
        <v>0</v>
      </c>
      <c r="U156" s="394">
        <v>0</v>
      </c>
      <c r="V156" s="396">
        <v>5.7999999999999996E-3</v>
      </c>
      <c r="W156" s="396">
        <v>5.7000000000000002E-3</v>
      </c>
      <c r="X156" s="394">
        <v>0</v>
      </c>
      <c r="Y156" s="394">
        <v>124.98</v>
      </c>
      <c r="Z156" s="405">
        <v>42766</v>
      </c>
      <c r="AA156" s="368" t="s">
        <v>278</v>
      </c>
      <c r="AB156" s="397"/>
      <c r="AC156" s="405"/>
      <c r="AD156" s="405">
        <v>42767</v>
      </c>
      <c r="AE156" s="405">
        <v>42767</v>
      </c>
      <c r="AF156" s="368">
        <v>1</v>
      </c>
      <c r="AG156" s="405">
        <v>42767</v>
      </c>
      <c r="AH156" s="368" t="s">
        <v>330</v>
      </c>
      <c r="AI156" s="368" t="s">
        <v>331</v>
      </c>
      <c r="AJ156" s="368" t="s">
        <v>79</v>
      </c>
      <c r="AK156" s="368" t="s">
        <v>79</v>
      </c>
      <c r="AL156" s="368" t="s">
        <v>510</v>
      </c>
      <c r="AM156" s="368" t="s">
        <v>332</v>
      </c>
      <c r="AN156" s="368" t="s">
        <v>280</v>
      </c>
    </row>
    <row r="157" spans="1:40" ht="12.95" customHeight="1">
      <c r="A157" s="402" t="str">
        <f t="shared" si="2"/>
        <v>QGSF</v>
      </c>
      <c r="B157" s="368" t="s">
        <v>164</v>
      </c>
      <c r="C157" s="368" t="s">
        <v>395</v>
      </c>
      <c r="D157" s="273"/>
      <c r="E157" s="273"/>
      <c r="F157" s="273"/>
      <c r="G157" s="401" t="s">
        <v>333</v>
      </c>
      <c r="H157" s="273"/>
      <c r="I157" s="273"/>
      <c r="J157" s="273"/>
      <c r="K157" s="273"/>
      <c r="L157" s="273"/>
      <c r="M157" s="273"/>
      <c r="N157" s="273"/>
      <c r="O157" s="273"/>
      <c r="P157" s="274">
        <v>735875.02</v>
      </c>
      <c r="Q157" s="370">
        <v>736000</v>
      </c>
      <c r="R157" s="370">
        <v>736000</v>
      </c>
      <c r="S157" s="273"/>
      <c r="T157" s="370">
        <v>0</v>
      </c>
      <c r="U157" s="370">
        <v>0</v>
      </c>
      <c r="V157" s="371">
        <v>5.7999999999999996E-3</v>
      </c>
      <c r="W157" s="371">
        <v>5.7000000000000002E-3</v>
      </c>
      <c r="X157" s="370">
        <v>0</v>
      </c>
      <c r="Y157" s="370">
        <v>124.98</v>
      </c>
      <c r="Z157" s="273"/>
      <c r="AA157" s="273"/>
      <c r="AB157" s="273"/>
      <c r="AC157" s="273"/>
      <c r="AD157" s="273"/>
      <c r="AE157" s="273"/>
      <c r="AF157" s="273"/>
      <c r="AG157" s="273"/>
      <c r="AH157" s="273"/>
      <c r="AI157" s="273"/>
      <c r="AJ157" s="273"/>
      <c r="AK157" s="273"/>
      <c r="AL157" s="273"/>
      <c r="AM157" s="273"/>
      <c r="AN157" s="273"/>
    </row>
    <row r="158" spans="1:40" ht="12.95" customHeight="1">
      <c r="A158" s="402" t="str">
        <f t="shared" si="2"/>
        <v>QGSFINF082J01010</v>
      </c>
      <c r="B158" s="368" t="s">
        <v>164</v>
      </c>
      <c r="C158" s="368" t="s">
        <v>395</v>
      </c>
      <c r="D158" s="368" t="s">
        <v>396</v>
      </c>
      <c r="E158" s="368" t="s">
        <v>137</v>
      </c>
      <c r="F158" s="368" t="s">
        <v>235</v>
      </c>
      <c r="G158" s="368" t="s">
        <v>397</v>
      </c>
      <c r="H158" s="368" t="s">
        <v>398</v>
      </c>
      <c r="I158" s="394">
        <v>97666</v>
      </c>
      <c r="J158" s="394">
        <v>100</v>
      </c>
      <c r="K158" s="395">
        <v>1298.7</v>
      </c>
      <c r="L158" s="395">
        <v>1307.8</v>
      </c>
      <c r="M158" s="396">
        <v>6.958250497017893E-3</v>
      </c>
      <c r="N158" s="368" t="s">
        <v>277</v>
      </c>
      <c r="O158" s="395">
        <v>1304.3962760837958</v>
      </c>
      <c r="P158" s="394">
        <v>127395166.7</v>
      </c>
      <c r="Q158" s="394">
        <v>127395166.7</v>
      </c>
      <c r="R158" s="394">
        <v>127727594.8</v>
      </c>
      <c r="S158" s="394">
        <v>9766600</v>
      </c>
      <c r="T158" s="394">
        <v>332428.09999999998</v>
      </c>
      <c r="U158" s="394">
        <v>885121.41</v>
      </c>
      <c r="V158" s="396">
        <v>0.99790000000000001</v>
      </c>
      <c r="W158" s="396">
        <v>0.99429999999999996</v>
      </c>
      <c r="X158" s="394">
        <v>0</v>
      </c>
      <c r="Y158" s="394">
        <v>0</v>
      </c>
      <c r="Z158" s="405">
        <v>42766</v>
      </c>
      <c r="AA158" s="368" t="s">
        <v>278</v>
      </c>
      <c r="AB158" s="397"/>
      <c r="AC158" s="405"/>
      <c r="AD158" s="405"/>
      <c r="AE158" s="405"/>
      <c r="AF158" s="368"/>
      <c r="AG158" s="405"/>
      <c r="AH158" s="368" t="s">
        <v>79</v>
      </c>
      <c r="AI158" s="368" t="s">
        <v>279</v>
      </c>
      <c r="AJ158" s="368" t="s">
        <v>79</v>
      </c>
      <c r="AK158" s="368" t="s">
        <v>79</v>
      </c>
      <c r="AL158" s="368" t="s">
        <v>510</v>
      </c>
      <c r="AM158" s="368" t="s">
        <v>0</v>
      </c>
      <c r="AN158" s="368" t="s">
        <v>280</v>
      </c>
    </row>
    <row r="159" spans="1:40" ht="12.95" customHeight="1">
      <c r="A159" s="402" t="str">
        <f t="shared" si="2"/>
        <v>QGSF</v>
      </c>
      <c r="B159" s="368" t="s">
        <v>164</v>
      </c>
      <c r="C159" s="368" t="s">
        <v>395</v>
      </c>
      <c r="D159" s="273"/>
      <c r="E159" s="273"/>
      <c r="F159" s="273"/>
      <c r="G159" s="401" t="s">
        <v>399</v>
      </c>
      <c r="H159" s="273"/>
      <c r="I159" s="273"/>
      <c r="J159" s="273"/>
      <c r="K159" s="273"/>
      <c r="L159" s="273"/>
      <c r="M159" s="273"/>
      <c r="N159" s="273"/>
      <c r="O159" s="273"/>
      <c r="P159" s="274">
        <v>127395166.7</v>
      </c>
      <c r="Q159" s="370">
        <v>127395166.7</v>
      </c>
      <c r="R159" s="370">
        <v>127727594.8</v>
      </c>
      <c r="S159" s="273"/>
      <c r="T159" s="370">
        <v>332428.09999999998</v>
      </c>
      <c r="U159" s="370">
        <v>885121.41</v>
      </c>
      <c r="V159" s="371">
        <v>0.99790000000000001</v>
      </c>
      <c r="W159" s="371">
        <v>0.99429999999999996</v>
      </c>
      <c r="X159" s="370">
        <v>0</v>
      </c>
      <c r="Y159" s="370">
        <v>0</v>
      </c>
      <c r="Z159" s="273"/>
      <c r="AA159" s="273"/>
      <c r="AB159" s="273"/>
      <c r="AC159" s="273"/>
      <c r="AD159" s="273"/>
      <c r="AE159" s="273"/>
      <c r="AF159" s="273"/>
      <c r="AG159" s="273"/>
      <c r="AH159" s="273"/>
      <c r="AI159" s="273"/>
      <c r="AJ159" s="273"/>
      <c r="AK159" s="273"/>
      <c r="AL159" s="273"/>
      <c r="AM159" s="273"/>
      <c r="AN159" s="273"/>
    </row>
    <row r="160" spans="1:40" ht="12.95" customHeight="1">
      <c r="A160" s="402" t="str">
        <f t="shared" si="2"/>
        <v>QGSFCash &amp; Cash Equivalent:</v>
      </c>
      <c r="B160" s="368" t="s">
        <v>164</v>
      </c>
      <c r="C160" s="368" t="s">
        <v>395</v>
      </c>
      <c r="D160" s="401" t="s">
        <v>326</v>
      </c>
      <c r="E160" s="401" t="s">
        <v>326</v>
      </c>
      <c r="F160" s="401" t="s">
        <v>326</v>
      </c>
      <c r="G160" s="273"/>
      <c r="H160" s="273"/>
      <c r="I160" s="273"/>
      <c r="J160" s="273"/>
      <c r="K160" s="273"/>
      <c r="L160" s="273"/>
      <c r="M160" s="273"/>
      <c r="N160" s="273"/>
      <c r="O160" s="273"/>
      <c r="P160" s="273"/>
      <c r="Q160" s="273"/>
      <c r="R160" s="370">
        <v>-469862.81081479997</v>
      </c>
      <c r="S160" s="273"/>
      <c r="T160" s="273"/>
      <c r="U160" s="273"/>
      <c r="V160" s="371">
        <v>-3.7000000000000002E-3</v>
      </c>
      <c r="W160" s="273"/>
      <c r="X160" s="273"/>
      <c r="Y160" s="273"/>
      <c r="Z160" s="273"/>
      <c r="AA160" s="273"/>
      <c r="AB160" s="273"/>
      <c r="AC160" s="273"/>
      <c r="AD160" s="273"/>
      <c r="AE160" s="273"/>
      <c r="AF160" s="273"/>
      <c r="AG160" s="273"/>
      <c r="AH160" s="273"/>
      <c r="AI160" s="273"/>
      <c r="AJ160" s="273"/>
      <c r="AK160" s="273"/>
      <c r="AL160" s="273"/>
      <c r="AM160" s="273"/>
      <c r="AN160" s="273"/>
    </row>
    <row r="161" spans="1:40" ht="12.95" customHeight="1">
      <c r="A161" s="402" t="str">
        <f t="shared" si="2"/>
        <v>QGSFNet Asset:</v>
      </c>
      <c r="B161" s="368" t="s">
        <v>164</v>
      </c>
      <c r="C161" s="368" t="s">
        <v>395</v>
      </c>
      <c r="D161" s="401" t="s">
        <v>327</v>
      </c>
      <c r="E161" s="401" t="s">
        <v>327</v>
      </c>
      <c r="F161" s="401" t="s">
        <v>327</v>
      </c>
      <c r="G161" s="273"/>
      <c r="H161" s="273"/>
      <c r="I161" s="273"/>
      <c r="J161" s="273"/>
      <c r="K161" s="273"/>
      <c r="L161" s="273"/>
      <c r="M161" s="273"/>
      <c r="N161" s="273"/>
      <c r="O161" s="273"/>
      <c r="P161" s="273"/>
      <c r="Q161" s="273"/>
      <c r="R161" s="370">
        <v>127993731.9891852</v>
      </c>
      <c r="S161" s="273"/>
      <c r="T161" s="273"/>
      <c r="U161" s="273"/>
      <c r="V161" s="371">
        <v>1</v>
      </c>
      <c r="W161" s="273"/>
      <c r="X161" s="273"/>
      <c r="Y161" s="273"/>
      <c r="Z161" s="273"/>
      <c r="AA161" s="273"/>
      <c r="AB161" s="273"/>
      <c r="AC161" s="273"/>
      <c r="AD161" s="273"/>
      <c r="AE161" s="273"/>
      <c r="AF161" s="273"/>
      <c r="AG161" s="273"/>
      <c r="AH161" s="273"/>
      <c r="AI161" s="273"/>
      <c r="AJ161" s="273"/>
      <c r="AK161" s="273"/>
      <c r="AL161" s="273"/>
      <c r="AM161" s="273"/>
      <c r="AN161" s="273"/>
    </row>
    <row r="162" spans="1:40" ht="12.95" customHeight="1">
      <c r="A162" s="402" t="str">
        <f t="shared" si="2"/>
        <v/>
      </c>
      <c r="B162" s="275" t="s">
        <v>79</v>
      </c>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row>
    <row r="163" spans="1:40" ht="12.95" customHeight="1">
      <c r="A163" s="402" t="str">
        <f t="shared" si="2"/>
        <v>QLFCBL_010217</v>
      </c>
      <c r="B163" s="368" t="s">
        <v>155</v>
      </c>
      <c r="C163" s="368" t="s">
        <v>400</v>
      </c>
      <c r="D163" s="368" t="s">
        <v>607</v>
      </c>
      <c r="E163" s="368" t="s">
        <v>607</v>
      </c>
      <c r="F163" s="368" t="s">
        <v>607</v>
      </c>
      <c r="G163" s="368" t="s">
        <v>329</v>
      </c>
      <c r="H163" s="368" t="s">
        <v>329</v>
      </c>
      <c r="I163" s="394">
        <v>1555659.4149499999</v>
      </c>
      <c r="J163" s="394">
        <v>100</v>
      </c>
      <c r="K163" s="395">
        <v>0</v>
      </c>
      <c r="L163" s="395">
        <v>99.999999997000003</v>
      </c>
      <c r="M163" s="396">
        <v>1</v>
      </c>
      <c r="N163" s="368" t="s">
        <v>277</v>
      </c>
      <c r="O163" s="395">
        <v>99.98315645780292</v>
      </c>
      <c r="P163" s="394">
        <v>155539738.68000001</v>
      </c>
      <c r="Q163" s="394">
        <v>155565941.49000001</v>
      </c>
      <c r="R163" s="394">
        <v>155565941.49000001</v>
      </c>
      <c r="S163" s="394">
        <v>155565941.495</v>
      </c>
      <c r="T163" s="394">
        <v>0</v>
      </c>
      <c r="U163" s="394">
        <v>0</v>
      </c>
      <c r="V163" s="396">
        <v>0.17050000000000001</v>
      </c>
      <c r="W163" s="396">
        <v>0.17069999999999999</v>
      </c>
      <c r="X163" s="394">
        <v>0</v>
      </c>
      <c r="Y163" s="394">
        <v>26202.81</v>
      </c>
      <c r="Z163" s="405">
        <v>42766</v>
      </c>
      <c r="AA163" s="368" t="s">
        <v>278</v>
      </c>
      <c r="AB163" s="397"/>
      <c r="AC163" s="405"/>
      <c r="AD163" s="405">
        <v>42767</v>
      </c>
      <c r="AE163" s="405">
        <v>42767</v>
      </c>
      <c r="AF163" s="368">
        <v>1</v>
      </c>
      <c r="AG163" s="405">
        <v>42767</v>
      </c>
      <c r="AH163" s="368" t="s">
        <v>330</v>
      </c>
      <c r="AI163" s="368" t="s">
        <v>331</v>
      </c>
      <c r="AJ163" s="368" t="s">
        <v>79</v>
      </c>
      <c r="AK163" s="368" t="s">
        <v>79</v>
      </c>
      <c r="AL163" s="368" t="s">
        <v>510</v>
      </c>
      <c r="AM163" s="368" t="s">
        <v>332</v>
      </c>
      <c r="AN163" s="368" t="s">
        <v>280</v>
      </c>
    </row>
    <row r="164" spans="1:40" ht="12.95" customHeight="1">
      <c r="A164" s="402" t="str">
        <f t="shared" si="2"/>
        <v>QLF</v>
      </c>
      <c r="B164" s="368" t="s">
        <v>155</v>
      </c>
      <c r="C164" s="368" t="s">
        <v>400</v>
      </c>
      <c r="D164" s="273"/>
      <c r="E164" s="273"/>
      <c r="F164" s="273"/>
      <c r="G164" s="401" t="s">
        <v>333</v>
      </c>
      <c r="H164" s="273"/>
      <c r="I164" s="273"/>
      <c r="J164" s="273"/>
      <c r="K164" s="273"/>
      <c r="L164" s="273"/>
      <c r="M164" s="273"/>
      <c r="N164" s="273"/>
      <c r="O164" s="273"/>
      <c r="P164" s="274">
        <v>155539738.68000001</v>
      </c>
      <c r="Q164" s="370">
        <v>155565941.49000001</v>
      </c>
      <c r="R164" s="370">
        <v>155565941.49000001</v>
      </c>
      <c r="S164" s="273"/>
      <c r="T164" s="370">
        <v>0</v>
      </c>
      <c r="U164" s="370">
        <v>0</v>
      </c>
      <c r="V164" s="371">
        <v>0.17050000000000001</v>
      </c>
      <c r="W164" s="371">
        <v>0.17069999999999999</v>
      </c>
      <c r="X164" s="370">
        <v>0</v>
      </c>
      <c r="Y164" s="370">
        <v>26202.81</v>
      </c>
      <c r="Z164" s="273"/>
      <c r="AA164" s="273"/>
      <c r="AB164" s="273"/>
      <c r="AC164" s="273"/>
      <c r="AD164" s="273"/>
      <c r="AE164" s="273"/>
      <c r="AF164" s="273"/>
      <c r="AG164" s="273"/>
      <c r="AH164" s="273"/>
      <c r="AI164" s="273"/>
      <c r="AJ164" s="273"/>
      <c r="AK164" s="273"/>
      <c r="AL164" s="273"/>
      <c r="AM164" s="273"/>
      <c r="AN164" s="273"/>
    </row>
    <row r="165" spans="1:40" ht="12.95" customHeight="1">
      <c r="A165" s="402" t="str">
        <f t="shared" si="2"/>
        <v>QLFINE434A16OQ8</v>
      </c>
      <c r="B165" s="368" t="s">
        <v>155</v>
      </c>
      <c r="C165" s="368" t="s">
        <v>400</v>
      </c>
      <c r="D165" s="368" t="s">
        <v>586</v>
      </c>
      <c r="E165" s="368" t="s">
        <v>587</v>
      </c>
      <c r="F165" s="368" t="s">
        <v>588</v>
      </c>
      <c r="G165" s="368" t="s">
        <v>401</v>
      </c>
      <c r="H165" s="368" t="s">
        <v>402</v>
      </c>
      <c r="I165" s="394">
        <v>500000</v>
      </c>
      <c r="J165" s="394">
        <v>100</v>
      </c>
      <c r="K165" s="395">
        <v>99.8292</v>
      </c>
      <c r="L165" s="395">
        <v>99.846299999999999</v>
      </c>
      <c r="M165" s="396">
        <v>1.7126323158694914E-4</v>
      </c>
      <c r="N165" s="368" t="s">
        <v>277</v>
      </c>
      <c r="O165" s="395">
        <v>99.034899999999993</v>
      </c>
      <c r="P165" s="394">
        <v>49517450</v>
      </c>
      <c r="Q165" s="394">
        <v>49923807.920000002</v>
      </c>
      <c r="R165" s="394">
        <v>49923150</v>
      </c>
      <c r="S165" s="394">
        <v>50000000</v>
      </c>
      <c r="T165" s="394">
        <v>-657.92</v>
      </c>
      <c r="U165" s="394">
        <v>84.21</v>
      </c>
      <c r="V165" s="396">
        <v>5.4699999999999999E-2</v>
      </c>
      <c r="W165" s="396">
        <v>5.4800000000000001E-2</v>
      </c>
      <c r="X165" s="394">
        <v>0</v>
      </c>
      <c r="Y165" s="394">
        <v>406357.92</v>
      </c>
      <c r="Z165" s="405">
        <v>42766</v>
      </c>
      <c r="AA165" s="368" t="s">
        <v>490</v>
      </c>
      <c r="AB165" s="397"/>
      <c r="AC165" s="405"/>
      <c r="AD165" s="405">
        <v>42776</v>
      </c>
      <c r="AE165" s="405">
        <v>42776</v>
      </c>
      <c r="AF165" s="368">
        <v>10</v>
      </c>
      <c r="AG165" s="405">
        <v>42776</v>
      </c>
      <c r="AH165" s="368" t="s">
        <v>330</v>
      </c>
      <c r="AI165" s="368" t="s">
        <v>331</v>
      </c>
      <c r="AJ165" s="368" t="s">
        <v>79</v>
      </c>
      <c r="AK165" s="368" t="s">
        <v>79</v>
      </c>
      <c r="AL165" s="368" t="s">
        <v>64</v>
      </c>
      <c r="AM165" s="368" t="s">
        <v>589</v>
      </c>
      <c r="AN165" s="368" t="s">
        <v>280</v>
      </c>
    </row>
    <row r="166" spans="1:40" ht="12.95" customHeight="1">
      <c r="A166" s="402" t="str">
        <f t="shared" si="2"/>
        <v>QLF</v>
      </c>
      <c r="B166" s="368" t="s">
        <v>155</v>
      </c>
      <c r="C166" s="368" t="s">
        <v>400</v>
      </c>
      <c r="D166" s="273"/>
      <c r="E166" s="273"/>
      <c r="F166" s="273"/>
      <c r="G166" s="401" t="s">
        <v>403</v>
      </c>
      <c r="H166" s="273"/>
      <c r="I166" s="273"/>
      <c r="J166" s="273"/>
      <c r="K166" s="273"/>
      <c r="L166" s="273"/>
      <c r="M166" s="273"/>
      <c r="N166" s="273"/>
      <c r="O166" s="273"/>
      <c r="P166" s="274">
        <v>49517450</v>
      </c>
      <c r="Q166" s="370">
        <v>49923807.920000002</v>
      </c>
      <c r="R166" s="370">
        <v>49923150</v>
      </c>
      <c r="S166" s="273"/>
      <c r="T166" s="370">
        <v>-657.92</v>
      </c>
      <c r="U166" s="370">
        <v>84.21</v>
      </c>
      <c r="V166" s="371">
        <v>5.4699999999999999E-2</v>
      </c>
      <c r="W166" s="371">
        <v>5.4800000000000001E-2</v>
      </c>
      <c r="X166" s="370">
        <v>0</v>
      </c>
      <c r="Y166" s="370">
        <v>406357.92</v>
      </c>
      <c r="Z166" s="273"/>
      <c r="AA166" s="273"/>
      <c r="AB166" s="273"/>
      <c r="AC166" s="273"/>
      <c r="AD166" s="273"/>
      <c r="AE166" s="273"/>
      <c r="AF166" s="273"/>
      <c r="AG166" s="273"/>
      <c r="AH166" s="273"/>
      <c r="AI166" s="273"/>
      <c r="AJ166" s="273"/>
      <c r="AK166" s="273"/>
      <c r="AL166" s="273"/>
      <c r="AM166" s="273"/>
      <c r="AN166" s="273"/>
    </row>
    <row r="167" spans="1:40" ht="12.95" customHeight="1">
      <c r="A167" s="402" t="str">
        <f t="shared" si="2"/>
        <v>QLFINE261F14AX4</v>
      </c>
      <c r="B167" s="368" t="s">
        <v>155</v>
      </c>
      <c r="C167" s="368" t="s">
        <v>400</v>
      </c>
      <c r="D167" s="368" t="s">
        <v>590</v>
      </c>
      <c r="E167" s="368" t="s">
        <v>591</v>
      </c>
      <c r="F167" s="368" t="s">
        <v>592</v>
      </c>
      <c r="G167" s="368" t="s">
        <v>425</v>
      </c>
      <c r="H167" s="368" t="s">
        <v>426</v>
      </c>
      <c r="I167" s="394">
        <v>500000</v>
      </c>
      <c r="J167" s="394">
        <v>100</v>
      </c>
      <c r="K167" s="395">
        <v>99.417000000000002</v>
      </c>
      <c r="L167" s="395">
        <v>99.435000000000002</v>
      </c>
      <c r="M167" s="396">
        <v>1.8102277869965305E-4</v>
      </c>
      <c r="N167" s="368" t="s">
        <v>277</v>
      </c>
      <c r="O167" s="395">
        <v>98.723399999999998</v>
      </c>
      <c r="P167" s="394">
        <v>49361700</v>
      </c>
      <c r="Q167" s="394">
        <v>49722843.399999999</v>
      </c>
      <c r="R167" s="394">
        <v>49717500</v>
      </c>
      <c r="S167" s="394">
        <v>50000000</v>
      </c>
      <c r="T167" s="394">
        <v>-5343.4</v>
      </c>
      <c r="U167" s="394">
        <v>601.30999999999995</v>
      </c>
      <c r="V167" s="396">
        <v>5.45E-2</v>
      </c>
      <c r="W167" s="396">
        <v>5.45E-2</v>
      </c>
      <c r="X167" s="394">
        <v>0</v>
      </c>
      <c r="Y167" s="394">
        <v>361143.4</v>
      </c>
      <c r="Z167" s="405">
        <v>42766</v>
      </c>
      <c r="AA167" s="368" t="s">
        <v>194</v>
      </c>
      <c r="AB167" s="397"/>
      <c r="AC167" s="405"/>
      <c r="AD167" s="405">
        <v>42800</v>
      </c>
      <c r="AE167" s="405">
        <v>42800</v>
      </c>
      <c r="AF167" s="368">
        <v>34</v>
      </c>
      <c r="AG167" s="405">
        <v>42800</v>
      </c>
      <c r="AH167" s="368" t="s">
        <v>330</v>
      </c>
      <c r="AI167" s="368" t="s">
        <v>331</v>
      </c>
      <c r="AJ167" s="368" t="s">
        <v>79</v>
      </c>
      <c r="AK167" s="368" t="s">
        <v>79</v>
      </c>
      <c r="AL167" s="368" t="s">
        <v>65</v>
      </c>
      <c r="AM167" s="368" t="s">
        <v>568</v>
      </c>
      <c r="AN167" s="368" t="s">
        <v>280</v>
      </c>
    </row>
    <row r="168" spans="1:40" ht="12.95" customHeight="1">
      <c r="A168" s="402" t="str">
        <f t="shared" si="2"/>
        <v>QLF</v>
      </c>
      <c r="B168" s="368" t="s">
        <v>155</v>
      </c>
      <c r="C168" s="368" t="s">
        <v>400</v>
      </c>
      <c r="D168" s="273"/>
      <c r="E168" s="273"/>
      <c r="F168" s="273"/>
      <c r="G168" s="401" t="s">
        <v>427</v>
      </c>
      <c r="H168" s="273"/>
      <c r="I168" s="273"/>
      <c r="J168" s="273"/>
      <c r="K168" s="273"/>
      <c r="L168" s="273"/>
      <c r="M168" s="273"/>
      <c r="N168" s="273"/>
      <c r="O168" s="273"/>
      <c r="P168" s="274">
        <v>49361700</v>
      </c>
      <c r="Q168" s="370">
        <v>49722843.399999999</v>
      </c>
      <c r="R168" s="370">
        <v>49717500</v>
      </c>
      <c r="S168" s="273"/>
      <c r="T168" s="370">
        <v>-5343.4</v>
      </c>
      <c r="U168" s="370">
        <v>601.30999999999995</v>
      </c>
      <c r="V168" s="371">
        <v>5.45E-2</v>
      </c>
      <c r="W168" s="371">
        <v>5.45E-2</v>
      </c>
      <c r="X168" s="370">
        <v>0</v>
      </c>
      <c r="Y168" s="370">
        <v>361143.4</v>
      </c>
      <c r="Z168" s="273"/>
      <c r="AA168" s="273"/>
      <c r="AB168" s="273"/>
      <c r="AC168" s="273"/>
      <c r="AD168" s="273"/>
      <c r="AE168" s="273"/>
      <c r="AF168" s="273"/>
      <c r="AG168" s="273"/>
      <c r="AH168" s="273"/>
      <c r="AI168" s="273"/>
      <c r="AJ168" s="273"/>
      <c r="AK168" s="273"/>
      <c r="AL168" s="273"/>
      <c r="AM168" s="273"/>
      <c r="AN168" s="273"/>
    </row>
    <row r="169" spans="1:40" ht="12.95" customHeight="1">
      <c r="A169" s="402" t="str">
        <f t="shared" si="2"/>
        <v>QLFIN002016Y130</v>
      </c>
      <c r="B169" s="368" t="s">
        <v>155</v>
      </c>
      <c r="C169" s="368" t="s">
        <v>400</v>
      </c>
      <c r="D169" s="368" t="s">
        <v>611</v>
      </c>
      <c r="E169" s="368" t="s">
        <v>612</v>
      </c>
      <c r="F169" s="368" t="s">
        <v>613</v>
      </c>
      <c r="G169" s="368" t="s">
        <v>340</v>
      </c>
      <c r="H169" s="368" t="s">
        <v>341</v>
      </c>
      <c r="I169" s="394">
        <v>100000</v>
      </c>
      <c r="J169" s="394">
        <v>100</v>
      </c>
      <c r="K169" s="395">
        <v>99.143900000000002</v>
      </c>
      <c r="L169" s="395">
        <v>99.165899999999993</v>
      </c>
      <c r="M169" s="396">
        <v>2.2185045464217035E-4</v>
      </c>
      <c r="N169" s="368" t="s">
        <v>277</v>
      </c>
      <c r="O169" s="395">
        <v>98.908187499999997</v>
      </c>
      <c r="P169" s="394">
        <v>9890818.75</v>
      </c>
      <c r="Q169" s="394">
        <v>9916014.4000000004</v>
      </c>
      <c r="R169" s="394">
        <v>9916590</v>
      </c>
      <c r="S169" s="394">
        <v>10000000</v>
      </c>
      <c r="T169" s="394">
        <v>575.6</v>
      </c>
      <c r="U169" s="394">
        <v>520.29</v>
      </c>
      <c r="V169" s="396">
        <v>1.09E-2</v>
      </c>
      <c r="W169" s="396">
        <v>1.09E-2</v>
      </c>
      <c r="X169" s="394">
        <v>0</v>
      </c>
      <c r="Y169" s="394">
        <v>25195.65</v>
      </c>
      <c r="Z169" s="405">
        <v>42766</v>
      </c>
      <c r="AA169" s="368" t="s">
        <v>342</v>
      </c>
      <c r="AB169" s="397"/>
      <c r="AC169" s="405"/>
      <c r="AD169" s="405">
        <v>42817</v>
      </c>
      <c r="AE169" s="405">
        <v>42817</v>
      </c>
      <c r="AF169" s="368">
        <v>51</v>
      </c>
      <c r="AG169" s="405">
        <v>42817</v>
      </c>
      <c r="AH169" s="368" t="s">
        <v>330</v>
      </c>
      <c r="AI169" s="368" t="s">
        <v>279</v>
      </c>
      <c r="AJ169" s="368" t="s">
        <v>79</v>
      </c>
      <c r="AK169" s="368" t="s">
        <v>79</v>
      </c>
      <c r="AL169" s="368" t="s">
        <v>343</v>
      </c>
      <c r="AM169" s="368" t="s">
        <v>343</v>
      </c>
      <c r="AN169" s="368" t="s">
        <v>280</v>
      </c>
    </row>
    <row r="170" spans="1:40" ht="12.95" customHeight="1">
      <c r="A170" s="402" t="str">
        <f t="shared" si="2"/>
        <v>QLFIN002016X348</v>
      </c>
      <c r="B170" s="368" t="s">
        <v>155</v>
      </c>
      <c r="C170" s="368" t="s">
        <v>400</v>
      </c>
      <c r="D170" s="368" t="s">
        <v>593</v>
      </c>
      <c r="E170" s="368" t="s">
        <v>594</v>
      </c>
      <c r="F170" s="368" t="s">
        <v>595</v>
      </c>
      <c r="G170" s="368" t="s">
        <v>340</v>
      </c>
      <c r="H170" s="368" t="s">
        <v>341</v>
      </c>
      <c r="I170" s="394">
        <v>2000000</v>
      </c>
      <c r="J170" s="394">
        <v>100</v>
      </c>
      <c r="K170" s="395">
        <v>99.610500000000002</v>
      </c>
      <c r="L170" s="395">
        <v>99.629499999999993</v>
      </c>
      <c r="M170" s="396">
        <v>1.9070656783382433E-4</v>
      </c>
      <c r="N170" s="368" t="s">
        <v>277</v>
      </c>
      <c r="O170" s="395">
        <v>98.713274999999996</v>
      </c>
      <c r="P170" s="394">
        <v>197426550</v>
      </c>
      <c r="Q170" s="394">
        <v>199292301.25</v>
      </c>
      <c r="R170" s="394">
        <v>199259000</v>
      </c>
      <c r="S170" s="394">
        <v>200000000</v>
      </c>
      <c r="T170" s="394">
        <v>-33301.25</v>
      </c>
      <c r="U170" s="394">
        <v>5831.88</v>
      </c>
      <c r="V170" s="396">
        <v>0.21840000000000001</v>
      </c>
      <c r="W170" s="396">
        <v>0.21859999999999999</v>
      </c>
      <c r="X170" s="394">
        <v>0</v>
      </c>
      <c r="Y170" s="394">
        <v>1865751.25</v>
      </c>
      <c r="Z170" s="405">
        <v>42766</v>
      </c>
      <c r="AA170" s="368" t="s">
        <v>342</v>
      </c>
      <c r="AB170" s="397"/>
      <c r="AC170" s="405"/>
      <c r="AD170" s="405">
        <v>42789</v>
      </c>
      <c r="AE170" s="405">
        <v>42789</v>
      </c>
      <c r="AF170" s="368">
        <v>23</v>
      </c>
      <c r="AG170" s="405">
        <v>42789</v>
      </c>
      <c r="AH170" s="368" t="s">
        <v>330</v>
      </c>
      <c r="AI170" s="368" t="s">
        <v>279</v>
      </c>
      <c r="AJ170" s="368" t="s">
        <v>79</v>
      </c>
      <c r="AK170" s="368" t="s">
        <v>79</v>
      </c>
      <c r="AL170" s="368" t="s">
        <v>343</v>
      </c>
      <c r="AM170" s="368" t="s">
        <v>343</v>
      </c>
      <c r="AN170" s="368" t="s">
        <v>280</v>
      </c>
    </row>
    <row r="171" spans="1:40" ht="12.95" customHeight="1">
      <c r="A171" s="402" t="str">
        <f t="shared" si="2"/>
        <v>QLFIN002016X355</v>
      </c>
      <c r="B171" s="368" t="s">
        <v>155</v>
      </c>
      <c r="C171" s="368" t="s">
        <v>400</v>
      </c>
      <c r="D171" s="368" t="s">
        <v>596</v>
      </c>
      <c r="E171" s="368" t="s">
        <v>597</v>
      </c>
      <c r="F171" s="368" t="s">
        <v>598</v>
      </c>
      <c r="G171" s="368" t="s">
        <v>340</v>
      </c>
      <c r="H171" s="368" t="s">
        <v>341</v>
      </c>
      <c r="I171" s="394">
        <v>500000</v>
      </c>
      <c r="J171" s="394">
        <v>100</v>
      </c>
      <c r="K171" s="395">
        <v>99.495900000000006</v>
      </c>
      <c r="L171" s="395">
        <v>99.514899999999997</v>
      </c>
      <c r="M171" s="396">
        <v>1.9092618291331249E-4</v>
      </c>
      <c r="N171" s="368" t="s">
        <v>277</v>
      </c>
      <c r="O171" s="395">
        <v>98.557074999999998</v>
      </c>
      <c r="P171" s="394">
        <v>49278537.5</v>
      </c>
      <c r="Q171" s="394">
        <v>49767528.75</v>
      </c>
      <c r="R171" s="394">
        <v>49757450</v>
      </c>
      <c r="S171" s="394">
        <v>50000000</v>
      </c>
      <c r="T171" s="394">
        <v>-10078.75</v>
      </c>
      <c r="U171" s="394">
        <v>1483.75</v>
      </c>
      <c r="V171" s="396">
        <v>5.45E-2</v>
      </c>
      <c r="W171" s="396">
        <v>5.4600000000000003E-2</v>
      </c>
      <c r="X171" s="394">
        <v>0</v>
      </c>
      <c r="Y171" s="394">
        <v>488991.25</v>
      </c>
      <c r="Z171" s="405">
        <v>42766</v>
      </c>
      <c r="AA171" s="368" t="s">
        <v>342</v>
      </c>
      <c r="AB171" s="397"/>
      <c r="AC171" s="405"/>
      <c r="AD171" s="405">
        <v>42796</v>
      </c>
      <c r="AE171" s="405">
        <v>42796</v>
      </c>
      <c r="AF171" s="368">
        <v>30</v>
      </c>
      <c r="AG171" s="405">
        <v>42796</v>
      </c>
      <c r="AH171" s="368" t="s">
        <v>330</v>
      </c>
      <c r="AI171" s="368" t="s">
        <v>279</v>
      </c>
      <c r="AJ171" s="368" t="s">
        <v>79</v>
      </c>
      <c r="AK171" s="368" t="s">
        <v>79</v>
      </c>
      <c r="AL171" s="368" t="s">
        <v>343</v>
      </c>
      <c r="AM171" s="368" t="s">
        <v>343</v>
      </c>
      <c r="AN171" s="368" t="s">
        <v>280</v>
      </c>
    </row>
    <row r="172" spans="1:40" ht="12.95" customHeight="1">
      <c r="A172" s="402" t="str">
        <f t="shared" si="2"/>
        <v>QLFIN002016X363</v>
      </c>
      <c r="B172" s="368" t="s">
        <v>155</v>
      </c>
      <c r="C172" s="368" t="s">
        <v>400</v>
      </c>
      <c r="D172" s="368" t="s">
        <v>599</v>
      </c>
      <c r="E172" s="368" t="s">
        <v>600</v>
      </c>
      <c r="F172" s="368" t="s">
        <v>601</v>
      </c>
      <c r="G172" s="368" t="s">
        <v>340</v>
      </c>
      <c r="H172" s="368" t="s">
        <v>341</v>
      </c>
      <c r="I172" s="394">
        <v>3000000</v>
      </c>
      <c r="J172" s="394">
        <v>100</v>
      </c>
      <c r="K172" s="395">
        <v>99.378900000000002</v>
      </c>
      <c r="L172" s="395">
        <v>99.398499999999999</v>
      </c>
      <c r="M172" s="396">
        <v>1.9718607423653274E-4</v>
      </c>
      <c r="N172" s="368" t="s">
        <v>277</v>
      </c>
      <c r="O172" s="395">
        <v>98.632125000000002</v>
      </c>
      <c r="P172" s="394">
        <v>295896375</v>
      </c>
      <c r="Q172" s="394">
        <v>298243639.74000001</v>
      </c>
      <c r="R172" s="394">
        <v>298195500</v>
      </c>
      <c r="S172" s="394">
        <v>300000000</v>
      </c>
      <c r="T172" s="394">
        <v>-48139.74</v>
      </c>
      <c r="U172" s="394">
        <v>10012.209999999999</v>
      </c>
      <c r="V172" s="396">
        <v>0.32679999999999998</v>
      </c>
      <c r="W172" s="396">
        <v>0.3271</v>
      </c>
      <c r="X172" s="394">
        <v>0</v>
      </c>
      <c r="Y172" s="394">
        <v>2347264.7400000002</v>
      </c>
      <c r="Z172" s="405">
        <v>42766</v>
      </c>
      <c r="AA172" s="368" t="s">
        <v>342</v>
      </c>
      <c r="AB172" s="397"/>
      <c r="AC172" s="405"/>
      <c r="AD172" s="405">
        <v>42803</v>
      </c>
      <c r="AE172" s="405">
        <v>42803</v>
      </c>
      <c r="AF172" s="368">
        <v>37</v>
      </c>
      <c r="AG172" s="405">
        <v>42803</v>
      </c>
      <c r="AH172" s="368" t="s">
        <v>330</v>
      </c>
      <c r="AI172" s="368" t="s">
        <v>279</v>
      </c>
      <c r="AJ172" s="368" t="s">
        <v>79</v>
      </c>
      <c r="AK172" s="368" t="s">
        <v>79</v>
      </c>
      <c r="AL172" s="368" t="s">
        <v>343</v>
      </c>
      <c r="AM172" s="368" t="s">
        <v>343</v>
      </c>
      <c r="AN172" s="368" t="s">
        <v>280</v>
      </c>
    </row>
    <row r="173" spans="1:40" ht="12.95" customHeight="1">
      <c r="A173" s="402" t="str">
        <f t="shared" si="2"/>
        <v>QLFIN002016X389</v>
      </c>
      <c r="B173" s="368" t="s">
        <v>155</v>
      </c>
      <c r="C173" s="368" t="s">
        <v>400</v>
      </c>
      <c r="D173" s="368" t="s">
        <v>602</v>
      </c>
      <c r="E173" s="368" t="s">
        <v>603</v>
      </c>
      <c r="F173" s="368" t="s">
        <v>604</v>
      </c>
      <c r="G173" s="368" t="s">
        <v>340</v>
      </c>
      <c r="H173" s="368" t="s">
        <v>341</v>
      </c>
      <c r="I173" s="394">
        <v>1000000</v>
      </c>
      <c r="J173" s="394">
        <v>100</v>
      </c>
      <c r="K173" s="395">
        <v>99.143900000000002</v>
      </c>
      <c r="L173" s="395">
        <v>99.165899999999993</v>
      </c>
      <c r="M173" s="396">
        <v>2.2185045464217035E-4</v>
      </c>
      <c r="N173" s="368" t="s">
        <v>277</v>
      </c>
      <c r="O173" s="395">
        <v>98.473474999999993</v>
      </c>
      <c r="P173" s="394">
        <v>98473475</v>
      </c>
      <c r="Q173" s="394">
        <v>99161250</v>
      </c>
      <c r="R173" s="394">
        <v>99165900</v>
      </c>
      <c r="S173" s="394">
        <v>100000000</v>
      </c>
      <c r="T173" s="394">
        <v>4650</v>
      </c>
      <c r="U173" s="394">
        <v>5225</v>
      </c>
      <c r="V173" s="396">
        <v>0.1087</v>
      </c>
      <c r="W173" s="396">
        <v>0.10879999999999999</v>
      </c>
      <c r="X173" s="394">
        <v>0</v>
      </c>
      <c r="Y173" s="394">
        <v>687775</v>
      </c>
      <c r="Z173" s="405">
        <v>42766</v>
      </c>
      <c r="AA173" s="368" t="s">
        <v>342</v>
      </c>
      <c r="AB173" s="397"/>
      <c r="AC173" s="405"/>
      <c r="AD173" s="405">
        <v>42817</v>
      </c>
      <c r="AE173" s="405">
        <v>42817</v>
      </c>
      <c r="AF173" s="368">
        <v>51</v>
      </c>
      <c r="AG173" s="405">
        <v>42817</v>
      </c>
      <c r="AH173" s="368" t="s">
        <v>330</v>
      </c>
      <c r="AI173" s="368" t="s">
        <v>279</v>
      </c>
      <c r="AJ173" s="368" t="s">
        <v>79</v>
      </c>
      <c r="AK173" s="368" t="s">
        <v>79</v>
      </c>
      <c r="AL173" s="368" t="s">
        <v>343</v>
      </c>
      <c r="AM173" s="368" t="s">
        <v>343</v>
      </c>
      <c r="AN173" s="368" t="s">
        <v>280</v>
      </c>
    </row>
    <row r="174" spans="1:40" ht="12.95" customHeight="1">
      <c r="A174" s="402" t="str">
        <f t="shared" si="2"/>
        <v>QLF</v>
      </c>
      <c r="B174" s="368" t="s">
        <v>155</v>
      </c>
      <c r="C174" s="368" t="s">
        <v>400</v>
      </c>
      <c r="D174" s="273"/>
      <c r="E174" s="273"/>
      <c r="F174" s="273"/>
      <c r="G174" s="401" t="s">
        <v>344</v>
      </c>
      <c r="H174" s="273"/>
      <c r="I174" s="273"/>
      <c r="J174" s="273"/>
      <c r="K174" s="273"/>
      <c r="L174" s="273"/>
      <c r="M174" s="273"/>
      <c r="N174" s="273"/>
      <c r="O174" s="273"/>
      <c r="P174" s="274">
        <v>650965756.25</v>
      </c>
      <c r="Q174" s="370">
        <v>656380734.13999999</v>
      </c>
      <c r="R174" s="370">
        <v>656294440</v>
      </c>
      <c r="S174" s="273"/>
      <c r="T174" s="370">
        <v>-86294.14</v>
      </c>
      <c r="U174" s="370">
        <v>23073.13</v>
      </c>
      <c r="V174" s="371">
        <v>0.71930000000000005</v>
      </c>
      <c r="W174" s="371">
        <v>0.72</v>
      </c>
      <c r="X174" s="370">
        <v>0</v>
      </c>
      <c r="Y174" s="370">
        <v>5414977.8899999997</v>
      </c>
      <c r="Z174" s="273"/>
      <c r="AA174" s="273"/>
      <c r="AB174" s="273"/>
      <c r="AC174" s="273"/>
      <c r="AD174" s="273"/>
      <c r="AE174" s="273"/>
      <c r="AF174" s="273"/>
      <c r="AG174" s="273"/>
      <c r="AH174" s="273"/>
      <c r="AI174" s="273"/>
      <c r="AJ174" s="273"/>
      <c r="AK174" s="273"/>
      <c r="AL174" s="273"/>
      <c r="AM174" s="273"/>
      <c r="AN174" s="273"/>
    </row>
    <row r="175" spans="1:40" ht="12.95" customHeight="1">
      <c r="A175" s="402" t="str">
        <f t="shared" si="2"/>
        <v>QLFCash &amp; Cash Equivalent:</v>
      </c>
      <c r="B175" s="368" t="s">
        <v>155</v>
      </c>
      <c r="C175" s="368" t="s">
        <v>400</v>
      </c>
      <c r="D175" s="401" t="s">
        <v>326</v>
      </c>
      <c r="E175" s="401" t="s">
        <v>326</v>
      </c>
      <c r="F175" s="401" t="s">
        <v>326</v>
      </c>
      <c r="G175" s="273"/>
      <c r="H175" s="273"/>
      <c r="I175" s="273"/>
      <c r="J175" s="273"/>
      <c r="K175" s="273"/>
      <c r="L175" s="273"/>
      <c r="M175" s="273"/>
      <c r="N175" s="273"/>
      <c r="O175" s="273"/>
      <c r="P175" s="273"/>
      <c r="Q175" s="273"/>
      <c r="R175" s="370">
        <v>992833.77999998</v>
      </c>
      <c r="S175" s="273"/>
      <c r="T175" s="273"/>
      <c r="U175" s="273"/>
      <c r="V175" s="371">
        <v>1E-3</v>
      </c>
      <c r="W175" s="273"/>
      <c r="X175" s="273"/>
      <c r="Y175" s="273"/>
      <c r="Z175" s="273"/>
      <c r="AA175" s="273"/>
      <c r="AB175" s="273"/>
      <c r="AC175" s="273"/>
      <c r="AD175" s="273"/>
      <c r="AE175" s="273"/>
      <c r="AF175" s="273"/>
      <c r="AG175" s="273"/>
      <c r="AH175" s="273"/>
      <c r="AI175" s="273"/>
      <c r="AJ175" s="273"/>
      <c r="AK175" s="273"/>
      <c r="AL175" s="273"/>
      <c r="AM175" s="273"/>
      <c r="AN175" s="273"/>
    </row>
    <row r="176" spans="1:40" ht="12.95" customHeight="1">
      <c r="A176" s="402" t="str">
        <f t="shared" si="2"/>
        <v>QLFNet Asset:</v>
      </c>
      <c r="B176" s="368" t="s">
        <v>155</v>
      </c>
      <c r="C176" s="368" t="s">
        <v>400</v>
      </c>
      <c r="D176" s="401" t="s">
        <v>327</v>
      </c>
      <c r="E176" s="401" t="s">
        <v>327</v>
      </c>
      <c r="F176" s="401" t="s">
        <v>327</v>
      </c>
      <c r="G176" s="273"/>
      <c r="H176" s="273"/>
      <c r="I176" s="273"/>
      <c r="J176" s="273"/>
      <c r="K176" s="273"/>
      <c r="L176" s="273"/>
      <c r="M176" s="273"/>
      <c r="N176" s="273"/>
      <c r="O176" s="273"/>
      <c r="P176" s="273"/>
      <c r="Q176" s="273"/>
      <c r="R176" s="370">
        <v>912493865.26999998</v>
      </c>
      <c r="S176" s="273"/>
      <c r="T176" s="273"/>
      <c r="U176" s="273"/>
      <c r="V176" s="371">
        <v>1</v>
      </c>
      <c r="W176" s="273"/>
      <c r="X176" s="273"/>
      <c r="Y176" s="273"/>
      <c r="Z176" s="273"/>
      <c r="AA176" s="273"/>
      <c r="AB176" s="273"/>
      <c r="AC176" s="273"/>
      <c r="AD176" s="273"/>
      <c r="AE176" s="273"/>
      <c r="AF176" s="273"/>
      <c r="AG176" s="273"/>
      <c r="AH176" s="273"/>
      <c r="AI176" s="273"/>
      <c r="AJ176" s="273"/>
      <c r="AK176" s="273"/>
      <c r="AL176" s="273"/>
      <c r="AM176" s="273"/>
      <c r="AN176" s="273"/>
    </row>
    <row r="177" spans="1:40" ht="12.95" customHeight="1">
      <c r="A177" s="402" t="str">
        <f t="shared" si="2"/>
        <v/>
      </c>
      <c r="B177" s="275" t="s">
        <v>79</v>
      </c>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row>
    <row r="178" spans="1:40" ht="12.95" customHeight="1">
      <c r="A178" s="402" t="str">
        <f t="shared" si="2"/>
        <v>QMAFCBL_010217</v>
      </c>
      <c r="B178" s="368" t="s">
        <v>166</v>
      </c>
      <c r="C178" s="368" t="s">
        <v>404</v>
      </c>
      <c r="D178" s="368" t="s">
        <v>607</v>
      </c>
      <c r="E178" s="368" t="s">
        <v>607</v>
      </c>
      <c r="F178" s="368" t="s">
        <v>607</v>
      </c>
      <c r="G178" s="368" t="s">
        <v>329</v>
      </c>
      <c r="H178" s="368" t="s">
        <v>329</v>
      </c>
      <c r="I178" s="394">
        <v>7670</v>
      </c>
      <c r="J178" s="394">
        <v>100</v>
      </c>
      <c r="K178" s="395">
        <v>0</v>
      </c>
      <c r="L178" s="395">
        <v>100</v>
      </c>
      <c r="M178" s="396">
        <v>1</v>
      </c>
      <c r="N178" s="368" t="s">
        <v>277</v>
      </c>
      <c r="O178" s="395">
        <v>99.983019556714467</v>
      </c>
      <c r="P178" s="394">
        <v>766869.76</v>
      </c>
      <c r="Q178" s="394">
        <v>767000</v>
      </c>
      <c r="R178" s="394">
        <v>767000</v>
      </c>
      <c r="S178" s="394">
        <v>767000</v>
      </c>
      <c r="T178" s="394">
        <v>0</v>
      </c>
      <c r="U178" s="394">
        <v>0</v>
      </c>
      <c r="V178" s="396">
        <v>8.8000000000000005E-3</v>
      </c>
      <c r="W178" s="396">
        <v>8.8000000000000005E-3</v>
      </c>
      <c r="X178" s="394">
        <v>0</v>
      </c>
      <c r="Y178" s="394">
        <v>130.24</v>
      </c>
      <c r="Z178" s="405">
        <v>42766</v>
      </c>
      <c r="AA178" s="368" t="s">
        <v>278</v>
      </c>
      <c r="AB178" s="397"/>
      <c r="AC178" s="405"/>
      <c r="AD178" s="405">
        <v>42767</v>
      </c>
      <c r="AE178" s="405">
        <v>42767</v>
      </c>
      <c r="AF178" s="368">
        <v>1</v>
      </c>
      <c r="AG178" s="405">
        <v>42767</v>
      </c>
      <c r="AH178" s="368" t="s">
        <v>330</v>
      </c>
      <c r="AI178" s="368" t="s">
        <v>331</v>
      </c>
      <c r="AJ178" s="368" t="s">
        <v>79</v>
      </c>
      <c r="AK178" s="368" t="s">
        <v>79</v>
      </c>
      <c r="AL178" s="368" t="s">
        <v>510</v>
      </c>
      <c r="AM178" s="368" t="s">
        <v>332</v>
      </c>
      <c r="AN178" s="368" t="s">
        <v>280</v>
      </c>
    </row>
    <row r="179" spans="1:40" ht="12.95" customHeight="1">
      <c r="A179" s="402" t="str">
        <f t="shared" si="2"/>
        <v>QMAF</v>
      </c>
      <c r="B179" s="368" t="s">
        <v>166</v>
      </c>
      <c r="C179" s="368" t="s">
        <v>404</v>
      </c>
      <c r="D179" s="273"/>
      <c r="E179" s="273"/>
      <c r="F179" s="273"/>
      <c r="G179" s="401" t="s">
        <v>333</v>
      </c>
      <c r="H179" s="273"/>
      <c r="I179" s="273"/>
      <c r="J179" s="273"/>
      <c r="K179" s="273"/>
      <c r="L179" s="273"/>
      <c r="M179" s="273"/>
      <c r="N179" s="273"/>
      <c r="O179" s="273"/>
      <c r="P179" s="274">
        <v>766869.76</v>
      </c>
      <c r="Q179" s="370">
        <v>767000</v>
      </c>
      <c r="R179" s="370">
        <v>767000</v>
      </c>
      <c r="S179" s="273"/>
      <c r="T179" s="370">
        <v>0</v>
      </c>
      <c r="U179" s="370">
        <v>0</v>
      </c>
      <c r="V179" s="371">
        <v>8.8000000000000005E-3</v>
      </c>
      <c r="W179" s="371">
        <v>8.8000000000000005E-3</v>
      </c>
      <c r="X179" s="370">
        <v>0</v>
      </c>
      <c r="Y179" s="370">
        <v>130.24</v>
      </c>
      <c r="Z179" s="273"/>
      <c r="AA179" s="273"/>
      <c r="AB179" s="273"/>
      <c r="AC179" s="273"/>
      <c r="AD179" s="273"/>
      <c r="AE179" s="273"/>
      <c r="AF179" s="273"/>
      <c r="AG179" s="273"/>
      <c r="AH179" s="273"/>
      <c r="AI179" s="273"/>
      <c r="AJ179" s="273"/>
      <c r="AK179" s="273"/>
      <c r="AL179" s="273"/>
      <c r="AM179" s="273"/>
      <c r="AN179" s="273"/>
    </row>
    <row r="180" spans="1:40" ht="12.95" customHeight="1">
      <c r="A180" s="402" t="str">
        <f t="shared" si="2"/>
        <v>QMAFINF082J01028</v>
      </c>
      <c r="B180" s="368" t="s">
        <v>166</v>
      </c>
      <c r="C180" s="368" t="s">
        <v>404</v>
      </c>
      <c r="D180" s="368" t="s">
        <v>405</v>
      </c>
      <c r="E180" s="368" t="s">
        <v>138</v>
      </c>
      <c r="F180" s="368" t="s">
        <v>234</v>
      </c>
      <c r="G180" s="368" t="s">
        <v>397</v>
      </c>
      <c r="H180" s="368" t="s">
        <v>398</v>
      </c>
      <c r="I180" s="394">
        <v>11497</v>
      </c>
      <c r="J180" s="394">
        <v>10</v>
      </c>
      <c r="K180" s="395">
        <v>924.71579999999994</v>
      </c>
      <c r="L180" s="395">
        <v>920</v>
      </c>
      <c r="M180" s="396">
        <v>-5.125869565217391E-3</v>
      </c>
      <c r="N180" s="368" t="s">
        <v>277</v>
      </c>
      <c r="O180" s="395">
        <v>804.81218665738891</v>
      </c>
      <c r="P180" s="394">
        <v>9252925.7100000009</v>
      </c>
      <c r="Q180" s="394">
        <v>9252925.7100000009</v>
      </c>
      <c r="R180" s="394">
        <v>10577240</v>
      </c>
      <c r="S180" s="394">
        <v>114970</v>
      </c>
      <c r="T180" s="394">
        <v>1324314.29</v>
      </c>
      <c r="U180" s="394">
        <v>-54217.55</v>
      </c>
      <c r="V180" s="396">
        <v>0.1208</v>
      </c>
      <c r="W180" s="396">
        <v>0.1208</v>
      </c>
      <c r="X180" s="394">
        <v>0</v>
      </c>
      <c r="Y180" s="394">
        <v>0</v>
      </c>
      <c r="Z180" s="405">
        <v>42766</v>
      </c>
      <c r="AA180" s="368" t="s">
        <v>278</v>
      </c>
      <c r="AB180" s="397"/>
      <c r="AC180" s="405"/>
      <c r="AD180" s="405"/>
      <c r="AE180" s="405"/>
      <c r="AF180" s="368"/>
      <c r="AG180" s="405"/>
      <c r="AH180" s="368" t="s">
        <v>79</v>
      </c>
      <c r="AI180" s="368" t="s">
        <v>279</v>
      </c>
      <c r="AJ180" s="368" t="s">
        <v>79</v>
      </c>
      <c r="AK180" s="368" t="s">
        <v>79</v>
      </c>
      <c r="AL180" s="368" t="s">
        <v>510</v>
      </c>
      <c r="AM180" s="368" t="s">
        <v>0</v>
      </c>
      <c r="AN180" s="368" t="s">
        <v>280</v>
      </c>
    </row>
    <row r="181" spans="1:40" ht="12.95" customHeight="1">
      <c r="A181" s="402" t="str">
        <f t="shared" si="2"/>
        <v>QMAFINF082J01010</v>
      </c>
      <c r="B181" s="368" t="s">
        <v>166</v>
      </c>
      <c r="C181" s="368" t="s">
        <v>404</v>
      </c>
      <c r="D181" s="368" t="s">
        <v>396</v>
      </c>
      <c r="E181" s="368" t="s">
        <v>137</v>
      </c>
      <c r="F181" s="368" t="s">
        <v>235</v>
      </c>
      <c r="G181" s="368" t="s">
        <v>397</v>
      </c>
      <c r="H181" s="368" t="s">
        <v>398</v>
      </c>
      <c r="I181" s="394">
        <v>7936</v>
      </c>
      <c r="J181" s="394">
        <v>100</v>
      </c>
      <c r="K181" s="395">
        <v>1298.7</v>
      </c>
      <c r="L181" s="395">
        <v>1307.8</v>
      </c>
      <c r="M181" s="396">
        <v>6.958250497017893E-3</v>
      </c>
      <c r="N181" s="368" t="s">
        <v>277</v>
      </c>
      <c r="O181" s="395">
        <v>1319.0081703629032</v>
      </c>
      <c r="P181" s="394">
        <v>10467648.84</v>
      </c>
      <c r="Q181" s="394">
        <v>10467648.84</v>
      </c>
      <c r="R181" s="394">
        <v>10378700.800000001</v>
      </c>
      <c r="S181" s="394">
        <v>793600</v>
      </c>
      <c r="T181" s="394">
        <v>-88948.04</v>
      </c>
      <c r="U181" s="394">
        <v>72217.600000000006</v>
      </c>
      <c r="V181" s="396">
        <v>0.11849999999999999</v>
      </c>
      <c r="W181" s="396">
        <v>0.11849999999999999</v>
      </c>
      <c r="X181" s="394">
        <v>0</v>
      </c>
      <c r="Y181" s="394">
        <v>0</v>
      </c>
      <c r="Z181" s="405">
        <v>42766</v>
      </c>
      <c r="AA181" s="368" t="s">
        <v>278</v>
      </c>
      <c r="AB181" s="397"/>
      <c r="AC181" s="405"/>
      <c r="AD181" s="405"/>
      <c r="AE181" s="405"/>
      <c r="AF181" s="368"/>
      <c r="AG181" s="405"/>
      <c r="AH181" s="368" t="s">
        <v>79</v>
      </c>
      <c r="AI181" s="368" t="s">
        <v>279</v>
      </c>
      <c r="AJ181" s="368" t="s">
        <v>79</v>
      </c>
      <c r="AK181" s="368" t="s">
        <v>79</v>
      </c>
      <c r="AL181" s="368" t="s">
        <v>510</v>
      </c>
      <c r="AM181" s="368" t="s">
        <v>0</v>
      </c>
      <c r="AN181" s="368" t="s">
        <v>280</v>
      </c>
    </row>
    <row r="182" spans="1:40" ht="12.95" customHeight="1">
      <c r="A182" s="402" t="str">
        <f t="shared" si="2"/>
        <v>QMAF</v>
      </c>
      <c r="B182" s="368" t="s">
        <v>166</v>
      </c>
      <c r="C182" s="368" t="s">
        <v>404</v>
      </c>
      <c r="D182" s="273"/>
      <c r="E182" s="273"/>
      <c r="F182" s="273"/>
      <c r="G182" s="401" t="s">
        <v>399</v>
      </c>
      <c r="H182" s="273"/>
      <c r="I182" s="273"/>
      <c r="J182" s="273"/>
      <c r="K182" s="273"/>
      <c r="L182" s="273"/>
      <c r="M182" s="273"/>
      <c r="N182" s="273"/>
      <c r="O182" s="273"/>
      <c r="P182" s="274">
        <v>19720574.550000001</v>
      </c>
      <c r="Q182" s="370">
        <v>19720574.550000001</v>
      </c>
      <c r="R182" s="370">
        <v>20955940.800000001</v>
      </c>
      <c r="S182" s="273"/>
      <c r="T182" s="370">
        <v>1235366.25</v>
      </c>
      <c r="U182" s="370">
        <v>18000.05</v>
      </c>
      <c r="V182" s="371">
        <v>0.23930000000000001</v>
      </c>
      <c r="W182" s="371">
        <v>0.23930000000000001</v>
      </c>
      <c r="X182" s="370">
        <v>0</v>
      </c>
      <c r="Y182" s="370">
        <v>0</v>
      </c>
      <c r="Z182" s="273"/>
      <c r="AA182" s="273"/>
      <c r="AB182" s="273"/>
      <c r="AC182" s="273"/>
      <c r="AD182" s="273"/>
      <c r="AE182" s="273"/>
      <c r="AF182" s="273"/>
      <c r="AG182" s="273"/>
      <c r="AH182" s="273"/>
      <c r="AI182" s="273"/>
      <c r="AJ182" s="273"/>
      <c r="AK182" s="273"/>
      <c r="AL182" s="273"/>
      <c r="AM182" s="273"/>
      <c r="AN182" s="273"/>
    </row>
    <row r="183" spans="1:40" ht="12.95" customHeight="1">
      <c r="A183" s="402" t="str">
        <f t="shared" si="2"/>
        <v>QMAFINF082J01036</v>
      </c>
      <c r="B183" s="368" t="s">
        <v>166</v>
      </c>
      <c r="C183" s="368" t="s">
        <v>404</v>
      </c>
      <c r="D183" s="368" t="s">
        <v>406</v>
      </c>
      <c r="E183" s="368" t="s">
        <v>139</v>
      </c>
      <c r="F183" s="368" t="s">
        <v>236</v>
      </c>
      <c r="G183" s="368" t="s">
        <v>386</v>
      </c>
      <c r="H183" s="368" t="s">
        <v>387</v>
      </c>
      <c r="I183" s="394">
        <v>638742.60179999995</v>
      </c>
      <c r="J183" s="394">
        <v>10</v>
      </c>
      <c r="K183" s="395">
        <v>46.93</v>
      </c>
      <c r="L183" s="395">
        <v>46.44</v>
      </c>
      <c r="M183" s="396">
        <v>-1.0551248923341947E-2</v>
      </c>
      <c r="N183" s="368" t="s">
        <v>277</v>
      </c>
      <c r="O183" s="395">
        <v>33.975836446235924</v>
      </c>
      <c r="P183" s="394">
        <v>21701814.170000002</v>
      </c>
      <c r="Q183" s="394">
        <v>21701814.170000002</v>
      </c>
      <c r="R183" s="394">
        <v>29663206.43</v>
      </c>
      <c r="S183" s="394">
        <v>6387426.0180000002</v>
      </c>
      <c r="T183" s="394">
        <v>7961392.2599999998</v>
      </c>
      <c r="U183" s="394">
        <v>-312983.87</v>
      </c>
      <c r="V183" s="396">
        <v>0.3387</v>
      </c>
      <c r="W183" s="396">
        <v>0.3387</v>
      </c>
      <c r="X183" s="394">
        <v>0</v>
      </c>
      <c r="Y183" s="394">
        <v>0</v>
      </c>
      <c r="Z183" s="405">
        <v>42766</v>
      </c>
      <c r="AA183" s="368" t="s">
        <v>278</v>
      </c>
      <c r="AB183" s="397"/>
      <c r="AC183" s="405"/>
      <c r="AD183" s="405"/>
      <c r="AE183" s="405"/>
      <c r="AF183" s="368"/>
      <c r="AG183" s="405"/>
      <c r="AH183" s="368" t="s">
        <v>79</v>
      </c>
      <c r="AI183" s="368" t="s">
        <v>279</v>
      </c>
      <c r="AJ183" s="368" t="s">
        <v>79</v>
      </c>
      <c r="AK183" s="368" t="s">
        <v>79</v>
      </c>
      <c r="AL183" s="368" t="s">
        <v>510</v>
      </c>
      <c r="AM183" s="368" t="s">
        <v>0</v>
      </c>
      <c r="AN183" s="368" t="s">
        <v>280</v>
      </c>
    </row>
    <row r="184" spans="1:40" ht="12.95" customHeight="1">
      <c r="A184" s="402" t="str">
        <f t="shared" si="2"/>
        <v>QMAFINF082J01127</v>
      </c>
      <c r="B184" s="368" t="s">
        <v>166</v>
      </c>
      <c r="C184" s="368" t="s">
        <v>404</v>
      </c>
      <c r="D184" s="368" t="s">
        <v>407</v>
      </c>
      <c r="E184" s="368" t="s">
        <v>140</v>
      </c>
      <c r="F184" s="368" t="s">
        <v>507</v>
      </c>
      <c r="G184" s="368" t="s">
        <v>386</v>
      </c>
      <c r="H184" s="368" t="s">
        <v>387</v>
      </c>
      <c r="I184" s="394">
        <v>1106263.5284</v>
      </c>
      <c r="J184" s="394">
        <v>10</v>
      </c>
      <c r="K184" s="395">
        <v>22.293600000000001</v>
      </c>
      <c r="L184" s="395">
        <v>22.297799999999999</v>
      </c>
      <c r="M184" s="396">
        <v>1.8835938971557733E-4</v>
      </c>
      <c r="N184" s="368" t="s">
        <v>277</v>
      </c>
      <c r="O184" s="395">
        <v>19.617955354081616</v>
      </c>
      <c r="P184" s="394">
        <v>21702628.510000002</v>
      </c>
      <c r="Q184" s="394">
        <v>21702628.510000002</v>
      </c>
      <c r="R184" s="394">
        <v>24667242.899999999</v>
      </c>
      <c r="S184" s="394">
        <v>11062635.284</v>
      </c>
      <c r="T184" s="394">
        <v>2964614.39</v>
      </c>
      <c r="U184" s="394">
        <v>4646.3</v>
      </c>
      <c r="V184" s="396">
        <v>0.28170000000000001</v>
      </c>
      <c r="W184" s="396">
        <v>0.28170000000000001</v>
      </c>
      <c r="X184" s="394">
        <v>0</v>
      </c>
      <c r="Y184" s="394">
        <v>0</v>
      </c>
      <c r="Z184" s="405">
        <v>42766</v>
      </c>
      <c r="AA184" s="368" t="s">
        <v>278</v>
      </c>
      <c r="AB184" s="397"/>
      <c r="AC184" s="405"/>
      <c r="AD184" s="405"/>
      <c r="AE184" s="405"/>
      <c r="AF184" s="368"/>
      <c r="AG184" s="405"/>
      <c r="AH184" s="368" t="s">
        <v>79</v>
      </c>
      <c r="AI184" s="368" t="s">
        <v>279</v>
      </c>
      <c r="AJ184" s="368" t="s">
        <v>79</v>
      </c>
      <c r="AK184" s="368" t="s">
        <v>79</v>
      </c>
      <c r="AL184" s="368" t="s">
        <v>510</v>
      </c>
      <c r="AM184" s="368" t="s">
        <v>0</v>
      </c>
      <c r="AN184" s="368" t="s">
        <v>280</v>
      </c>
    </row>
    <row r="185" spans="1:40" ht="12.95" customHeight="1">
      <c r="A185" s="402" t="str">
        <f t="shared" si="2"/>
        <v>QMAFINF082J01176</v>
      </c>
      <c r="B185" s="368" t="s">
        <v>166</v>
      </c>
      <c r="C185" s="368" t="s">
        <v>404</v>
      </c>
      <c r="D185" s="368" t="s">
        <v>408</v>
      </c>
      <c r="E185" s="368" t="s">
        <v>225</v>
      </c>
      <c r="F185" s="368" t="s">
        <v>508</v>
      </c>
      <c r="G185" s="368" t="s">
        <v>386</v>
      </c>
      <c r="H185" s="368" t="s">
        <v>387</v>
      </c>
      <c r="I185" s="394">
        <v>930874.05790000001</v>
      </c>
      <c r="J185" s="394">
        <v>10</v>
      </c>
      <c r="K185" s="395">
        <v>12.379799999999999</v>
      </c>
      <c r="L185" s="395">
        <v>12.3817</v>
      </c>
      <c r="M185" s="396">
        <v>1.5345227230509543E-4</v>
      </c>
      <c r="N185" s="368" t="s">
        <v>277</v>
      </c>
      <c r="O185" s="395">
        <v>10.25597064283598</v>
      </c>
      <c r="P185" s="394">
        <v>9547017.0099999998</v>
      </c>
      <c r="Q185" s="394">
        <v>9547017.0099999998</v>
      </c>
      <c r="R185" s="394">
        <v>11525803.32</v>
      </c>
      <c r="S185" s="394">
        <v>9308740.5789999999</v>
      </c>
      <c r="T185" s="394">
        <v>1978786.31</v>
      </c>
      <c r="U185" s="394">
        <v>1768.66</v>
      </c>
      <c r="V185" s="396">
        <v>0.13159999999999999</v>
      </c>
      <c r="W185" s="396">
        <v>0.13159999999999999</v>
      </c>
      <c r="X185" s="394">
        <v>0</v>
      </c>
      <c r="Y185" s="394">
        <v>0</v>
      </c>
      <c r="Z185" s="405">
        <v>42766</v>
      </c>
      <c r="AA185" s="368" t="s">
        <v>278</v>
      </c>
      <c r="AB185" s="397"/>
      <c r="AC185" s="405"/>
      <c r="AD185" s="405"/>
      <c r="AE185" s="405"/>
      <c r="AF185" s="368"/>
      <c r="AG185" s="405"/>
      <c r="AH185" s="368" t="s">
        <v>79</v>
      </c>
      <c r="AI185" s="368" t="s">
        <v>279</v>
      </c>
      <c r="AJ185" s="368" t="s">
        <v>79</v>
      </c>
      <c r="AK185" s="368" t="s">
        <v>79</v>
      </c>
      <c r="AL185" s="368" t="s">
        <v>510</v>
      </c>
      <c r="AM185" s="368" t="s">
        <v>0</v>
      </c>
      <c r="AN185" s="368" t="s">
        <v>280</v>
      </c>
    </row>
    <row r="186" spans="1:40" ht="12.95" customHeight="1">
      <c r="A186" s="402" t="str">
        <f t="shared" si="2"/>
        <v>QMAF</v>
      </c>
      <c r="B186" s="368" t="s">
        <v>166</v>
      </c>
      <c r="C186" s="368" t="s">
        <v>404</v>
      </c>
      <c r="D186" s="273"/>
      <c r="E186" s="273"/>
      <c r="F186" s="273"/>
      <c r="G186" s="401" t="s">
        <v>394</v>
      </c>
      <c r="H186" s="273"/>
      <c r="I186" s="273"/>
      <c r="J186" s="273"/>
      <c r="K186" s="273"/>
      <c r="L186" s="273"/>
      <c r="M186" s="273"/>
      <c r="N186" s="273"/>
      <c r="O186" s="273"/>
      <c r="P186" s="274">
        <v>52951459.689999998</v>
      </c>
      <c r="Q186" s="370">
        <v>52951459.689999998</v>
      </c>
      <c r="R186" s="370">
        <v>65856252.649999999</v>
      </c>
      <c r="S186" s="273"/>
      <c r="T186" s="370">
        <v>12904792.960000001</v>
      </c>
      <c r="U186" s="370">
        <v>-306568.90999999997</v>
      </c>
      <c r="V186" s="371">
        <v>0.752</v>
      </c>
      <c r="W186" s="371">
        <v>0.752</v>
      </c>
      <c r="X186" s="370">
        <v>0</v>
      </c>
      <c r="Y186" s="370">
        <v>0</v>
      </c>
      <c r="Z186" s="273"/>
      <c r="AA186" s="273"/>
      <c r="AB186" s="273"/>
      <c r="AC186" s="273"/>
      <c r="AD186" s="273"/>
      <c r="AE186" s="273"/>
      <c r="AF186" s="273"/>
      <c r="AG186" s="273"/>
      <c r="AH186" s="273"/>
      <c r="AI186" s="273"/>
      <c r="AJ186" s="273"/>
      <c r="AK186" s="273"/>
      <c r="AL186" s="273"/>
      <c r="AM186" s="273"/>
      <c r="AN186" s="273"/>
    </row>
    <row r="187" spans="1:40" ht="12.95" customHeight="1">
      <c r="A187" s="402" t="str">
        <f t="shared" si="2"/>
        <v>QMAFCash &amp; Cash Equivalent:</v>
      </c>
      <c r="B187" s="368" t="s">
        <v>166</v>
      </c>
      <c r="C187" s="368" t="s">
        <v>404</v>
      </c>
      <c r="D187" s="401" t="s">
        <v>326</v>
      </c>
      <c r="E187" s="401" t="s">
        <v>326</v>
      </c>
      <c r="F187" s="401" t="s">
        <v>326</v>
      </c>
      <c r="G187" s="273"/>
      <c r="H187" s="273"/>
      <c r="I187" s="273"/>
      <c r="J187" s="273"/>
      <c r="K187" s="273"/>
      <c r="L187" s="273"/>
      <c r="M187" s="273"/>
      <c r="N187" s="273"/>
      <c r="O187" s="273"/>
      <c r="P187" s="273"/>
      <c r="Q187" s="273"/>
      <c r="R187" s="370">
        <v>-3538.2603768969998</v>
      </c>
      <c r="S187" s="273"/>
      <c r="T187" s="273"/>
      <c r="U187" s="273"/>
      <c r="V187" s="371">
        <v>-1E-4</v>
      </c>
      <c r="W187" s="273"/>
      <c r="X187" s="273"/>
      <c r="Y187" s="273"/>
      <c r="Z187" s="273"/>
      <c r="AA187" s="273"/>
      <c r="AB187" s="273"/>
      <c r="AC187" s="273"/>
      <c r="AD187" s="273"/>
      <c r="AE187" s="273"/>
      <c r="AF187" s="273"/>
      <c r="AG187" s="273"/>
      <c r="AH187" s="273"/>
      <c r="AI187" s="273"/>
      <c r="AJ187" s="273"/>
      <c r="AK187" s="273"/>
      <c r="AL187" s="273"/>
      <c r="AM187" s="273"/>
      <c r="AN187" s="273"/>
    </row>
    <row r="188" spans="1:40" ht="12.95" customHeight="1">
      <c r="A188" s="402" t="str">
        <f t="shared" si="2"/>
        <v>QMAFNet Asset:</v>
      </c>
      <c r="B188" s="368" t="s">
        <v>166</v>
      </c>
      <c r="C188" s="368" t="s">
        <v>404</v>
      </c>
      <c r="D188" s="401" t="s">
        <v>327</v>
      </c>
      <c r="E188" s="401" t="s">
        <v>327</v>
      </c>
      <c r="F188" s="401" t="s">
        <v>327</v>
      </c>
      <c r="G188" s="273"/>
      <c r="H188" s="273"/>
      <c r="I188" s="273"/>
      <c r="J188" s="273"/>
      <c r="K188" s="273"/>
      <c r="L188" s="273"/>
      <c r="M188" s="273"/>
      <c r="N188" s="273"/>
      <c r="O188" s="273"/>
      <c r="P188" s="273"/>
      <c r="Q188" s="273"/>
      <c r="R188" s="370">
        <v>87575655.189623103</v>
      </c>
      <c r="S188" s="273"/>
      <c r="T188" s="273"/>
      <c r="U188" s="273"/>
      <c r="V188" s="371">
        <v>1</v>
      </c>
      <c r="W188" s="273"/>
      <c r="X188" s="273"/>
      <c r="Y188" s="273"/>
      <c r="Z188" s="273"/>
      <c r="AA188" s="273"/>
      <c r="AB188" s="273"/>
      <c r="AC188" s="273"/>
      <c r="AD188" s="273"/>
      <c r="AE188" s="273"/>
      <c r="AF188" s="273"/>
      <c r="AG188" s="273"/>
      <c r="AH188" s="273"/>
      <c r="AI188" s="273"/>
      <c r="AJ188" s="273"/>
      <c r="AK188" s="273"/>
      <c r="AL188" s="273"/>
      <c r="AM188" s="273"/>
      <c r="AN188" s="273"/>
    </row>
    <row r="189" spans="1:40" ht="12.95" customHeight="1">
      <c r="A189" s="389" t="str">
        <f t="shared" ref="A189:A192" si="3">+B189&amp;E189</f>
        <v/>
      </c>
      <c r="B189" s="275" t="s">
        <v>79</v>
      </c>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row>
    <row r="190" spans="1:40" ht="12.95" customHeight="1">
      <c r="A190" s="389" t="str">
        <f t="shared" si="3"/>
        <v/>
      </c>
      <c r="B190" s="275"/>
      <c r="C190" s="273"/>
      <c r="D190" s="273"/>
      <c r="E190" s="273"/>
      <c r="F190" s="273"/>
      <c r="G190" s="273"/>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row>
    <row r="191" spans="1:40" ht="12.95" customHeight="1">
      <c r="A191" s="389" t="str">
        <f t="shared" si="3"/>
        <v/>
      </c>
      <c r="B191" s="368"/>
      <c r="C191" s="368"/>
      <c r="D191" s="369"/>
      <c r="E191" s="273"/>
      <c r="F191" s="369"/>
      <c r="G191" s="273"/>
      <c r="H191" s="273"/>
      <c r="I191" s="273"/>
      <c r="J191" s="273"/>
      <c r="K191" s="273"/>
      <c r="L191" s="273"/>
      <c r="M191" s="273"/>
      <c r="N191" s="273"/>
      <c r="O191" s="273"/>
      <c r="P191" s="273"/>
      <c r="Q191" s="273"/>
      <c r="R191" s="370"/>
      <c r="S191" s="273"/>
      <c r="T191" s="273"/>
      <c r="U191" s="371"/>
      <c r="V191" s="273"/>
      <c r="W191" s="273"/>
      <c r="X191" s="273"/>
      <c r="Y191" s="273"/>
      <c r="Z191" s="273"/>
      <c r="AA191" s="273"/>
      <c r="AB191" s="273"/>
      <c r="AC191" s="273"/>
      <c r="AD191" s="273"/>
      <c r="AE191" s="273"/>
      <c r="AF191" s="273"/>
      <c r="AG191" s="273"/>
      <c r="AH191" s="273"/>
      <c r="AI191" s="273"/>
      <c r="AJ191" s="273"/>
      <c r="AK191" s="273"/>
      <c r="AL191" s="273"/>
      <c r="AM191" s="273"/>
    </row>
    <row r="192" spans="1:40" ht="12.95" customHeight="1">
      <c r="A192" s="389" t="str">
        <f t="shared" si="3"/>
        <v/>
      </c>
      <c r="B192" s="368"/>
      <c r="C192" s="368"/>
      <c r="D192" s="369"/>
      <c r="E192" s="369"/>
      <c r="F192" s="369"/>
      <c r="G192" s="273"/>
      <c r="H192" s="273"/>
      <c r="I192" s="273"/>
      <c r="J192" s="273"/>
      <c r="K192" s="273"/>
      <c r="L192" s="273"/>
      <c r="M192" s="273"/>
      <c r="N192" s="273"/>
      <c r="O192" s="273"/>
      <c r="P192" s="273"/>
      <c r="Q192" s="273"/>
      <c r="R192" s="370"/>
      <c r="S192" s="273"/>
      <c r="T192" s="273"/>
      <c r="U192" s="371"/>
      <c r="V192" s="273"/>
      <c r="W192" s="273"/>
      <c r="X192" s="273"/>
      <c r="Y192" s="273"/>
      <c r="Z192" s="273"/>
      <c r="AA192" s="273"/>
      <c r="AB192" s="273"/>
      <c r="AC192" s="273"/>
      <c r="AD192" s="273"/>
      <c r="AE192" s="273"/>
      <c r="AF192" s="273"/>
      <c r="AG192" s="273"/>
      <c r="AH192" s="273"/>
      <c r="AI192" s="273"/>
      <c r="AJ192" s="273"/>
      <c r="AK192" s="273"/>
      <c r="AL192" s="273"/>
      <c r="AM192" s="273"/>
    </row>
    <row r="193" spans="2:39" ht="12.95" customHeight="1">
      <c r="B193" s="275"/>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c r="AF193" s="273"/>
      <c r="AG193" s="273"/>
      <c r="AH193" s="273"/>
      <c r="AI193" s="273"/>
      <c r="AJ193" s="273"/>
      <c r="AK193" s="273"/>
      <c r="AL193" s="273"/>
      <c r="AM193" s="273"/>
    </row>
  </sheetData>
  <mergeCells count="2">
    <mergeCell ref="B1:C1"/>
    <mergeCell ref="B2:C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5" sqref="B5"/>
    </sheetView>
  </sheetViews>
  <sheetFormatPr defaultRowHeight="15"/>
  <cols>
    <col min="1" max="1" width="16.85546875" bestFit="1" customWidth="1"/>
    <col min="3" max="3" width="54.7109375" bestFit="1" customWidth="1"/>
    <col min="4" max="4" width="10.42578125" bestFit="1" customWidth="1"/>
    <col min="9" max="9" width="14.85546875" bestFit="1" customWidth="1"/>
  </cols>
  <sheetData>
    <row r="1" spans="1:11">
      <c r="A1" s="268" t="s">
        <v>358</v>
      </c>
      <c r="B1" s="268" t="s">
        <v>359</v>
      </c>
      <c r="C1" s="268" t="s">
        <v>360</v>
      </c>
      <c r="D1" s="268" t="s">
        <v>361</v>
      </c>
      <c r="E1" s="268" t="s">
        <v>362</v>
      </c>
      <c r="F1" s="268" t="s">
        <v>363</v>
      </c>
      <c r="G1" s="268" t="s">
        <v>364</v>
      </c>
      <c r="H1" s="268" t="s">
        <v>365</v>
      </c>
      <c r="I1" s="268" t="s">
        <v>366</v>
      </c>
    </row>
    <row r="2" spans="1:11">
      <c r="A2" s="390">
        <v>42766</v>
      </c>
      <c r="B2" s="391" t="s">
        <v>79</v>
      </c>
      <c r="C2" s="391" t="s">
        <v>367</v>
      </c>
      <c r="D2" s="391" t="s">
        <v>277</v>
      </c>
      <c r="E2" s="392">
        <v>12.3817</v>
      </c>
      <c r="F2" s="392">
        <v>12.3817</v>
      </c>
      <c r="G2" s="392">
        <v>12.3817</v>
      </c>
      <c r="H2" s="392" t="s">
        <v>79</v>
      </c>
      <c r="I2" s="393">
        <v>523613383.75</v>
      </c>
    </row>
    <row r="3" spans="1:11">
      <c r="A3" s="390">
        <v>42766</v>
      </c>
      <c r="B3" s="391" t="s">
        <v>79</v>
      </c>
      <c r="C3" s="391" t="s">
        <v>368</v>
      </c>
      <c r="D3" s="391" t="s">
        <v>277</v>
      </c>
      <c r="E3" s="392">
        <v>10.172000000000001</v>
      </c>
      <c r="F3" s="392">
        <v>10.172000000000001</v>
      </c>
      <c r="G3" s="392">
        <v>10.172000000000001</v>
      </c>
      <c r="H3" s="392" t="s">
        <v>79</v>
      </c>
      <c r="I3" s="393">
        <v>46216557.729999997</v>
      </c>
    </row>
    <row r="4" spans="1:11">
      <c r="A4" s="390">
        <v>42766</v>
      </c>
      <c r="B4" s="391" t="s">
        <v>79</v>
      </c>
      <c r="C4" s="391" t="s">
        <v>347</v>
      </c>
      <c r="D4" s="391" t="s">
        <v>277</v>
      </c>
      <c r="E4" s="392">
        <v>1318.5244</v>
      </c>
      <c r="F4" s="392">
        <v>1318.5244</v>
      </c>
      <c r="G4" s="392">
        <v>1318.5244</v>
      </c>
      <c r="H4" s="392" t="s">
        <v>79</v>
      </c>
      <c r="I4" s="393">
        <v>588540492.03288352</v>
      </c>
    </row>
    <row r="5" spans="1:11">
      <c r="A5" s="390">
        <v>42766</v>
      </c>
      <c r="B5" s="391" t="s">
        <v>79</v>
      </c>
      <c r="C5" s="391" t="s">
        <v>369</v>
      </c>
      <c r="D5" s="391" t="s">
        <v>277</v>
      </c>
      <c r="E5" s="392">
        <v>12.220499999999999</v>
      </c>
      <c r="F5" s="392">
        <v>12.220499999999999</v>
      </c>
      <c r="G5" s="392">
        <v>12.0372</v>
      </c>
      <c r="H5" s="392" t="s">
        <v>79</v>
      </c>
      <c r="I5" s="393">
        <v>127993731.98918501</v>
      </c>
    </row>
    <row r="6" spans="1:11">
      <c r="A6" s="390">
        <v>42766</v>
      </c>
      <c r="B6" s="391" t="s">
        <v>79</v>
      </c>
      <c r="C6" s="391" t="s">
        <v>273</v>
      </c>
      <c r="D6" s="391" t="s">
        <v>277</v>
      </c>
      <c r="E6" s="392">
        <v>917.04849999999999</v>
      </c>
      <c r="F6" s="392">
        <v>917.04849999999999</v>
      </c>
      <c r="G6" s="392">
        <v>917.04849999999999</v>
      </c>
      <c r="H6" s="392" t="s">
        <v>79</v>
      </c>
      <c r="I6" s="393">
        <v>41401073.294492379</v>
      </c>
    </row>
    <row r="7" spans="1:11">
      <c r="A7" s="390">
        <v>42766</v>
      </c>
      <c r="B7" s="391" t="s">
        <v>79</v>
      </c>
      <c r="C7" s="391" t="s">
        <v>370</v>
      </c>
      <c r="D7" s="391" t="s">
        <v>277</v>
      </c>
      <c r="E7" s="392">
        <v>10.0044</v>
      </c>
      <c r="F7" s="392">
        <v>10.0044</v>
      </c>
      <c r="G7" s="392">
        <v>10.0044</v>
      </c>
      <c r="H7" s="392" t="s">
        <v>79</v>
      </c>
      <c r="I7" s="393">
        <v>125634829.256459</v>
      </c>
    </row>
    <row r="8" spans="1:11">
      <c r="A8" s="390">
        <v>42766</v>
      </c>
      <c r="B8" s="391" t="s">
        <v>79</v>
      </c>
      <c r="C8" s="391" t="s">
        <v>371</v>
      </c>
      <c r="D8" s="391" t="s">
        <v>277</v>
      </c>
      <c r="E8" s="392">
        <v>22.297799999999999</v>
      </c>
      <c r="F8" s="392">
        <v>22.297799999999999</v>
      </c>
      <c r="G8" s="392">
        <v>22.297799999999999</v>
      </c>
      <c r="H8" s="392" t="s">
        <v>79</v>
      </c>
      <c r="I8" s="393">
        <v>734669402.71000004</v>
      </c>
    </row>
    <row r="9" spans="1:11">
      <c r="A9" s="390">
        <v>42766</v>
      </c>
      <c r="B9" s="391" t="s">
        <v>79</v>
      </c>
      <c r="C9" s="391" t="s">
        <v>372</v>
      </c>
      <c r="D9" s="391" t="s">
        <v>277</v>
      </c>
      <c r="E9" s="392">
        <v>10.014699999999999</v>
      </c>
      <c r="F9" s="392">
        <v>10.014699999999999</v>
      </c>
      <c r="G9" s="392">
        <v>10.014699999999999</v>
      </c>
      <c r="H9" s="392" t="s">
        <v>79</v>
      </c>
      <c r="I9" s="393">
        <v>52189631.759999998</v>
      </c>
    </row>
    <row r="10" spans="1:11">
      <c r="A10" s="390">
        <v>42766</v>
      </c>
      <c r="B10" s="391" t="s">
        <v>79</v>
      </c>
      <c r="C10" s="391" t="s">
        <v>373</v>
      </c>
      <c r="D10" s="391" t="s">
        <v>277</v>
      </c>
      <c r="E10" s="392">
        <v>46.83</v>
      </c>
      <c r="F10" s="392">
        <v>46.83</v>
      </c>
      <c r="G10" s="392">
        <v>44.96</v>
      </c>
      <c r="H10" s="392" t="s">
        <v>79</v>
      </c>
      <c r="I10" s="393">
        <v>489733462.61537468</v>
      </c>
    </row>
    <row r="11" spans="1:11">
      <c r="A11" s="390">
        <v>42766</v>
      </c>
      <c r="B11" s="391" t="s">
        <v>79</v>
      </c>
      <c r="C11" s="391" t="s">
        <v>374</v>
      </c>
      <c r="D11" s="391" t="s">
        <v>277</v>
      </c>
      <c r="E11" s="392">
        <v>46.44</v>
      </c>
      <c r="F11" s="392">
        <v>46.44</v>
      </c>
      <c r="G11" s="392">
        <v>44.58</v>
      </c>
      <c r="H11" s="392" t="s">
        <v>79</v>
      </c>
      <c r="I11" s="393">
        <v>6225698583.9303751</v>
      </c>
    </row>
    <row r="12" spans="1:11">
      <c r="A12" s="390">
        <v>42766</v>
      </c>
      <c r="B12" s="391" t="s">
        <v>79</v>
      </c>
      <c r="C12" s="391" t="s">
        <v>375</v>
      </c>
      <c r="D12" s="391" t="s">
        <v>277</v>
      </c>
      <c r="E12" s="392">
        <v>45.94</v>
      </c>
      <c r="F12" s="392">
        <v>45.94</v>
      </c>
      <c r="G12" s="392">
        <v>45.94</v>
      </c>
      <c r="H12" s="392" t="s">
        <v>79</v>
      </c>
      <c r="I12" s="393">
        <v>68903661.839317605</v>
      </c>
    </row>
    <row r="13" spans="1:11">
      <c r="A13" s="390">
        <v>42766</v>
      </c>
      <c r="B13" s="391" t="s">
        <v>79</v>
      </c>
      <c r="C13" s="391" t="s">
        <v>376</v>
      </c>
      <c r="D13" s="391" t="s">
        <v>277</v>
      </c>
      <c r="E13" s="392">
        <v>45.94</v>
      </c>
      <c r="F13" s="392">
        <v>45.94</v>
      </c>
      <c r="G13" s="392">
        <v>45.94</v>
      </c>
      <c r="H13" s="392" t="s">
        <v>79</v>
      </c>
      <c r="I13" s="393">
        <v>472769622.71847218</v>
      </c>
    </row>
    <row r="14" spans="1:11">
      <c r="A14" s="390">
        <v>42766</v>
      </c>
      <c r="B14" s="391" t="s">
        <v>79</v>
      </c>
      <c r="C14" s="391" t="s">
        <v>377</v>
      </c>
      <c r="D14" s="391" t="s">
        <v>277</v>
      </c>
      <c r="E14" s="392">
        <v>27.896000000000001</v>
      </c>
      <c r="F14" s="392">
        <v>27.896000000000001</v>
      </c>
      <c r="G14" s="392">
        <v>27.478000000000002</v>
      </c>
      <c r="H14" s="392" t="s">
        <v>79</v>
      </c>
      <c r="I14" s="393">
        <v>9990049.6193604283</v>
      </c>
      <c r="K14" s="379"/>
    </row>
    <row r="15" spans="1:11">
      <c r="A15" s="390">
        <v>42766</v>
      </c>
      <c r="B15" s="391" t="s">
        <v>79</v>
      </c>
      <c r="C15" s="391" t="s">
        <v>378</v>
      </c>
      <c r="D15" s="391" t="s">
        <v>277</v>
      </c>
      <c r="E15" s="392">
        <v>27.896000000000001</v>
      </c>
      <c r="F15" s="392">
        <v>27.896000000000001</v>
      </c>
      <c r="G15" s="392">
        <v>27.478000000000002</v>
      </c>
      <c r="H15" s="392" t="s">
        <v>79</v>
      </c>
      <c r="I15" s="393">
        <v>104444578.4116704</v>
      </c>
    </row>
    <row r="16" spans="1:11">
      <c r="A16" s="390">
        <v>42766</v>
      </c>
      <c r="B16" s="391" t="s">
        <v>79</v>
      </c>
      <c r="C16" s="391" t="s">
        <v>379</v>
      </c>
      <c r="D16" s="391" t="s">
        <v>277</v>
      </c>
      <c r="E16" s="392">
        <v>15.7034</v>
      </c>
      <c r="F16" s="392">
        <v>15.7034</v>
      </c>
      <c r="G16" s="392">
        <v>15.5464</v>
      </c>
      <c r="H16" s="392" t="s">
        <v>79</v>
      </c>
      <c r="I16" s="393">
        <v>87575655.189623103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2"/>
  <sheetViews>
    <sheetView topLeftCell="B1" zoomScale="90" zoomScaleNormal="90" workbookViewId="0">
      <selection activeCell="I11" sqref="I11"/>
    </sheetView>
  </sheetViews>
  <sheetFormatPr defaultColWidth="9.140625" defaultRowHeight="12.75"/>
  <cols>
    <col min="1" max="1" width="29.85546875"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9" width="9.28515625" style="2" bestFit="1" customWidth="1"/>
    <col min="10" max="16384" width="9.140625" style="2"/>
  </cols>
  <sheetData>
    <row r="1" spans="1:9">
      <c r="B1" s="441" t="s">
        <v>0</v>
      </c>
      <c r="C1" s="442"/>
      <c r="D1" s="442"/>
      <c r="E1" s="442"/>
      <c r="F1" s="442"/>
      <c r="G1" s="442"/>
      <c r="H1" s="443"/>
    </row>
    <row r="2" spans="1:9">
      <c r="B2" s="3"/>
      <c r="C2" s="4"/>
      <c r="D2" s="4"/>
      <c r="E2" s="4"/>
      <c r="F2" s="62"/>
      <c r="G2" s="4"/>
      <c r="H2" s="41"/>
    </row>
    <row r="3" spans="1:9">
      <c r="B3" s="444" t="s">
        <v>1</v>
      </c>
      <c r="C3" s="445"/>
      <c r="D3" s="445"/>
      <c r="E3" s="445"/>
      <c r="F3" s="445"/>
      <c r="G3" s="445"/>
      <c r="H3" s="446"/>
    </row>
    <row r="4" spans="1:9">
      <c r="B4" s="444" t="s">
        <v>2</v>
      </c>
      <c r="C4" s="445"/>
      <c r="D4" s="445"/>
      <c r="E4" s="445"/>
      <c r="F4" s="445"/>
      <c r="G4" s="445"/>
      <c r="H4" s="446"/>
    </row>
    <row r="5" spans="1:9" ht="15" customHeight="1">
      <c r="B5" s="447" t="s">
        <v>134</v>
      </c>
      <c r="C5" s="448"/>
      <c r="D5" s="448"/>
      <c r="E5" s="448"/>
      <c r="F5" s="448"/>
      <c r="G5" s="448"/>
      <c r="H5" s="449"/>
    </row>
    <row r="6" spans="1:9" ht="15" customHeight="1">
      <c r="B6" s="447"/>
      <c r="C6" s="448"/>
      <c r="D6" s="448"/>
      <c r="E6" s="448"/>
      <c r="F6" s="448"/>
      <c r="G6" s="448"/>
      <c r="H6" s="449"/>
    </row>
    <row r="7" spans="1:9">
      <c r="B7" s="3"/>
      <c r="C7" s="4"/>
      <c r="D7" s="4"/>
      <c r="E7" s="4"/>
      <c r="F7" s="62"/>
      <c r="G7" s="4"/>
      <c r="H7" s="41"/>
    </row>
    <row r="8" spans="1:9">
      <c r="B8" s="444" t="s">
        <v>145</v>
      </c>
      <c r="C8" s="445"/>
      <c r="D8" s="445"/>
      <c r="E8" s="445"/>
      <c r="F8" s="445"/>
      <c r="G8" s="445"/>
      <c r="H8" s="446"/>
    </row>
    <row r="9" spans="1:9">
      <c r="B9" s="3"/>
      <c r="C9" s="4"/>
      <c r="D9" s="4"/>
      <c r="E9" s="4"/>
      <c r="F9" s="62"/>
      <c r="G9" s="4"/>
      <c r="H9" s="41"/>
    </row>
    <row r="10" spans="1:9">
      <c r="B10" s="444" t="str">
        <f>"Monthly Portfolio Statement of the Quantum Long Term Equity Fund for the period ended "&amp;TEXT(Index!C23,"mmmmmmmmmm dd, yyyy")</f>
        <v>Monthly Portfolio Statement of the Quantum Long Term Equity Fund for the period ended January 31, 2017</v>
      </c>
      <c r="C10" s="445"/>
      <c r="D10" s="445"/>
      <c r="E10" s="445"/>
      <c r="F10" s="445"/>
      <c r="G10" s="445"/>
      <c r="H10" s="446"/>
    </row>
    <row r="11" spans="1:9" ht="13.5" thickBot="1">
      <c r="B11" s="66"/>
      <c r="C11" s="37"/>
      <c r="D11" s="37"/>
      <c r="E11" s="37"/>
      <c r="F11" s="67"/>
      <c r="G11" s="37"/>
      <c r="H11" s="65"/>
      <c r="I11" s="2" t="s">
        <v>1053</v>
      </c>
    </row>
    <row r="12" spans="1:9" s="229" customFormat="1" ht="48" customHeight="1">
      <c r="B12" s="223" t="s">
        <v>3</v>
      </c>
      <c r="C12" s="224" t="s">
        <v>4</v>
      </c>
      <c r="D12" s="225" t="s">
        <v>97</v>
      </c>
      <c r="E12" s="224" t="s">
        <v>222</v>
      </c>
      <c r="F12" s="226" t="s">
        <v>5</v>
      </c>
      <c r="G12" s="227" t="s">
        <v>147</v>
      </c>
      <c r="H12" s="228" t="s">
        <v>6</v>
      </c>
    </row>
    <row r="13" spans="1:9">
      <c r="B13" s="46"/>
      <c r="C13" s="21"/>
      <c r="D13" s="127"/>
      <c r="E13" s="21"/>
      <c r="F13" s="60"/>
      <c r="G13" s="14"/>
      <c r="H13" s="61"/>
    </row>
    <row r="14" spans="1:9">
      <c r="B14" s="46"/>
      <c r="C14" s="21" t="s">
        <v>58</v>
      </c>
      <c r="D14" s="127"/>
      <c r="E14" s="21"/>
      <c r="F14" s="60"/>
      <c r="G14" s="14"/>
      <c r="H14" s="61"/>
    </row>
    <row r="15" spans="1:9">
      <c r="B15" s="46"/>
      <c r="C15" s="49"/>
      <c r="D15" s="127"/>
      <c r="E15" s="49"/>
      <c r="F15" s="82"/>
      <c r="G15" s="15"/>
      <c r="H15" s="61"/>
    </row>
    <row r="16" spans="1:9">
      <c r="A16" s="2" t="s">
        <v>153</v>
      </c>
      <c r="B16" s="230" t="s">
        <v>7</v>
      </c>
      <c r="C16" s="21" t="s">
        <v>8</v>
      </c>
      <c r="D16" s="127"/>
      <c r="E16" s="54"/>
      <c r="F16" s="54"/>
      <c r="G16" s="15"/>
      <c r="H16" s="61"/>
    </row>
    <row r="17" spans="1:8">
      <c r="B17" s="230"/>
      <c r="C17" s="14"/>
      <c r="D17" s="127"/>
      <c r="E17" s="15"/>
      <c r="F17" s="15"/>
      <c r="G17" s="15"/>
      <c r="H17" s="51"/>
    </row>
    <row r="18" spans="1:8">
      <c r="A18" s="2" t="str">
        <f t="shared" ref="A18:A41" si="0">+$A$16&amp;D18</f>
        <v>QLTEFINE917I01010</v>
      </c>
      <c r="B18" s="230">
        <v>1</v>
      </c>
      <c r="C18" s="196" t="str">
        <f>VLOOKUP(A18,Holding!A:AM,39,0)&amp;"*"</f>
        <v>Bajaj Auto Limited*</v>
      </c>
      <c r="D18" s="127" t="s">
        <v>111</v>
      </c>
      <c r="E18" s="157" t="str">
        <f>VLOOKUP(A18,Holding!A:AL,38,0)</f>
        <v>Auto</v>
      </c>
      <c r="F18" s="158">
        <f>+VLOOKUP(A18,Holding!A:I,9,0)</f>
        <v>174210</v>
      </c>
      <c r="G18" s="157">
        <f>+ROUND(+VLOOKUP(A18,Holding!A:R,18,0)/100000,2)</f>
        <v>4936.1499999999996</v>
      </c>
      <c r="H18" s="16">
        <f t="shared" ref="H18:H41" si="1">+ROUND(G18/$G$68,4)</f>
        <v>7.3499999999999996E-2</v>
      </c>
    </row>
    <row r="19" spans="1:8">
      <c r="A19" s="2" t="str">
        <f t="shared" si="0"/>
        <v>QLTEFINE001A01036</v>
      </c>
      <c r="B19" s="230">
        <f t="shared" ref="B19:B41" si="2">+B18+1</f>
        <v>2</v>
      </c>
      <c r="C19" s="196" t="str">
        <f>VLOOKUP(A19,Holding!A:AM,39,0)&amp;"*"</f>
        <v>Housing Development Finance Corporation Limited*</v>
      </c>
      <c r="D19" s="127" t="s">
        <v>100</v>
      </c>
      <c r="E19" s="157" t="str">
        <f>VLOOKUP(A19,Holding!A:AL,38,0)</f>
        <v>Finance</v>
      </c>
      <c r="F19" s="158">
        <f>+VLOOKUP(A19,Holding!A:I,9,0)</f>
        <v>316951</v>
      </c>
      <c r="G19" s="157">
        <f>+ROUND(+VLOOKUP(A19,Holding!A:R,18,0)/100000,2)</f>
        <v>4329.08</v>
      </c>
      <c r="H19" s="16">
        <f t="shared" si="1"/>
        <v>6.4500000000000002E-2</v>
      </c>
    </row>
    <row r="20" spans="1:8">
      <c r="A20" s="2" t="str">
        <f t="shared" si="0"/>
        <v>QLTEFINE158A01026</v>
      </c>
      <c r="B20" s="230">
        <f t="shared" si="2"/>
        <v>3</v>
      </c>
      <c r="C20" s="196" t="str">
        <f>VLOOKUP(A20,Holding!A:AM,39,0)&amp;"*"</f>
        <v>Hero MotoCorp Limited*</v>
      </c>
      <c r="D20" s="127" t="s">
        <v>120</v>
      </c>
      <c r="E20" s="157" t="str">
        <f>VLOOKUP(A20,Holding!A:AL,38,0)</f>
        <v>Auto</v>
      </c>
      <c r="F20" s="158">
        <f>+VLOOKUP(A20,Holding!A:I,9,0)</f>
        <v>128300</v>
      </c>
      <c r="G20" s="157">
        <f>+ROUND(+VLOOKUP(A20,Holding!A:R,18,0)/100000,2)</f>
        <v>4070.13</v>
      </c>
      <c r="H20" s="16">
        <f t="shared" si="1"/>
        <v>6.0600000000000001E-2</v>
      </c>
    </row>
    <row r="21" spans="1:8">
      <c r="A21" s="2" t="str">
        <f t="shared" si="0"/>
        <v>QLTEFINE009A01021</v>
      </c>
      <c r="B21" s="230">
        <f t="shared" si="2"/>
        <v>4</v>
      </c>
      <c r="C21" s="196" t="str">
        <f>VLOOKUP(A21,Holding!A:AM,39,0)&amp;"*"</f>
        <v>Infosys Limited*</v>
      </c>
      <c r="D21" s="127" t="s">
        <v>99</v>
      </c>
      <c r="E21" s="157" t="str">
        <f>VLOOKUP(A21,Holding!A:AL,38,0)</f>
        <v>Software</v>
      </c>
      <c r="F21" s="158">
        <f>+VLOOKUP(A21,Holding!A:I,9,0)</f>
        <v>374982</v>
      </c>
      <c r="G21" s="157">
        <f>+ROUND(+VLOOKUP(A21,Holding!A:R,18,0)/100000,2)</f>
        <v>3482.08</v>
      </c>
      <c r="H21" s="16">
        <f t="shared" si="1"/>
        <v>5.1900000000000002E-2</v>
      </c>
    </row>
    <row r="22" spans="1:8">
      <c r="A22" s="2" t="str">
        <f t="shared" si="0"/>
        <v>QLTEFINE467B01029</v>
      </c>
      <c r="B22" s="230">
        <f t="shared" si="2"/>
        <v>5</v>
      </c>
      <c r="C22" s="196" t="str">
        <f>VLOOKUP(A22,Holding!A:AM,39,0)&amp;"*"</f>
        <v>Tata Consultancy Services Limited*</v>
      </c>
      <c r="D22" s="127" t="s">
        <v>103</v>
      </c>
      <c r="E22" s="157" t="str">
        <f>VLOOKUP(A22,Holding!A:AL,38,0)</f>
        <v>Software</v>
      </c>
      <c r="F22" s="158">
        <f>+VLOOKUP(A22,Holding!A:I,9,0)</f>
        <v>149719</v>
      </c>
      <c r="G22" s="157">
        <f>+ROUND(+VLOOKUP(A22,Holding!A:R,18,0)/100000,2)</f>
        <v>3338.43</v>
      </c>
      <c r="H22" s="16">
        <f t="shared" si="1"/>
        <v>4.9700000000000001E-2</v>
      </c>
    </row>
    <row r="23" spans="1:8">
      <c r="A23" s="2" t="str">
        <f t="shared" si="0"/>
        <v>QLTEFINE155A01022</v>
      </c>
      <c r="B23" s="230">
        <f t="shared" si="2"/>
        <v>6</v>
      </c>
      <c r="C23" s="196" t="str">
        <f>VLOOKUP(A23,Holding!A:AM,39,0)&amp;"*"</f>
        <v>Tata Motors Limited*</v>
      </c>
      <c r="D23" s="127" t="s">
        <v>106</v>
      </c>
      <c r="E23" s="157" t="str">
        <f>VLOOKUP(A23,Holding!A:AL,38,0)</f>
        <v>Auto</v>
      </c>
      <c r="F23" s="158">
        <f>+VLOOKUP(A23,Holding!A:I,9,0)</f>
        <v>598265</v>
      </c>
      <c r="G23" s="157">
        <f>+ROUND(+VLOOKUP(A23,Holding!A:R,18,0)/100000,2)</f>
        <v>3132.22</v>
      </c>
      <c r="H23" s="16">
        <f t="shared" si="1"/>
        <v>4.6600000000000003E-2</v>
      </c>
    </row>
    <row r="24" spans="1:8">
      <c r="A24" s="2" t="str">
        <f t="shared" si="0"/>
        <v>QLTEFINE733E01010</v>
      </c>
      <c r="B24" s="230">
        <f t="shared" si="2"/>
        <v>7</v>
      </c>
      <c r="C24" s="196" t="str">
        <f>VLOOKUP(A24,Holding!A:AM,39,0)&amp;"*"</f>
        <v>NTPC Limited*</v>
      </c>
      <c r="D24" s="127" t="s">
        <v>114</v>
      </c>
      <c r="E24" s="157" t="str">
        <f>VLOOKUP(A24,Holding!A:AL,38,0)</f>
        <v>Power</v>
      </c>
      <c r="F24" s="158">
        <f>+VLOOKUP(A24,Holding!A:I,9,0)</f>
        <v>1761089</v>
      </c>
      <c r="G24" s="157">
        <f>+ROUND(+VLOOKUP(A24,Holding!A:R,18,0)/100000,2)</f>
        <v>3035.24</v>
      </c>
      <c r="H24" s="243">
        <f t="shared" si="1"/>
        <v>4.5199999999999997E-2</v>
      </c>
    </row>
    <row r="25" spans="1:8">
      <c r="A25" s="2" t="str">
        <f t="shared" si="0"/>
        <v>QLTEFINE213A01029</v>
      </c>
      <c r="B25" s="230">
        <f t="shared" si="2"/>
        <v>8</v>
      </c>
      <c r="C25" s="196" t="str">
        <f>VLOOKUP(A25,Holding!A:AM,39,0)&amp;"*"</f>
        <v>Oil &amp; Natural Gas Corporation Limited*</v>
      </c>
      <c r="D25" s="127" t="s">
        <v>105</v>
      </c>
      <c r="E25" s="157" t="str">
        <f>VLOOKUP(A25,Holding!A:AL,38,0)</f>
        <v>Oil</v>
      </c>
      <c r="F25" s="158">
        <f>+VLOOKUP(A25,Holding!A:I,9,0)</f>
        <v>1312656</v>
      </c>
      <c r="G25" s="157">
        <f>+ROUND(+VLOOKUP(A25,Holding!A:R,18,0)/100000,2)</f>
        <v>2658.78</v>
      </c>
      <c r="H25" s="16">
        <f t="shared" si="1"/>
        <v>3.9600000000000003E-2</v>
      </c>
    </row>
    <row r="26" spans="1:8">
      <c r="A26" s="2" t="str">
        <f t="shared" si="0"/>
        <v>QLTEFINE062A01020</v>
      </c>
      <c r="B26" s="230">
        <f t="shared" si="2"/>
        <v>9</v>
      </c>
      <c r="C26" s="196" t="str">
        <f>VLOOKUP(A26,Holding!A:AM,39,0)&amp;"*"</f>
        <v>State Bank of India*</v>
      </c>
      <c r="D26" s="127" t="s">
        <v>201</v>
      </c>
      <c r="E26" s="157" t="str">
        <f>VLOOKUP(A26,Holding!A:AL,38,0)</f>
        <v>Banks</v>
      </c>
      <c r="F26" s="158">
        <f>+VLOOKUP(A26,Holding!A:I,9,0)</f>
        <v>981957</v>
      </c>
      <c r="G26" s="157">
        <f>+ROUND(+VLOOKUP(A26,Holding!A:R,18,0)/100000,2)</f>
        <v>2556.5300000000002</v>
      </c>
      <c r="H26" s="16">
        <f t="shared" si="1"/>
        <v>3.8100000000000002E-2</v>
      </c>
    </row>
    <row r="27" spans="1:8">
      <c r="A27" s="2" t="str">
        <f t="shared" si="0"/>
        <v>QLTEFINE090A01021</v>
      </c>
      <c r="B27" s="230">
        <f t="shared" si="2"/>
        <v>10</v>
      </c>
      <c r="C27" s="196" t="str">
        <f>VLOOKUP(A27,Holding!A:AM,39,0)&amp;"*"</f>
        <v>ICICI Bank Limited*</v>
      </c>
      <c r="D27" s="127" t="s">
        <v>204</v>
      </c>
      <c r="E27" s="157" t="str">
        <f>VLOOKUP(A27,Holding!A:AL,38,0)</f>
        <v>Banks</v>
      </c>
      <c r="F27" s="158">
        <f>+VLOOKUP(A27,Holding!A:I,9,0)</f>
        <v>949223</v>
      </c>
      <c r="G27" s="157">
        <f>+ROUND(+VLOOKUP(A27,Holding!A:R,18,0)/100000,2)</f>
        <v>2552.94</v>
      </c>
      <c r="H27" s="16">
        <f t="shared" si="1"/>
        <v>3.7999999999999999E-2</v>
      </c>
    </row>
    <row r="28" spans="1:8">
      <c r="A28" s="2" t="str">
        <f t="shared" si="0"/>
        <v>QLTEFINE302A01020</v>
      </c>
      <c r="B28" s="230">
        <f t="shared" si="2"/>
        <v>11</v>
      </c>
      <c r="C28" s="196" t="str">
        <f>VLOOKUP(A28,Holding!A:AM,39,0)</f>
        <v>Exide Industries Limited</v>
      </c>
      <c r="D28" s="242" t="s">
        <v>180</v>
      </c>
      <c r="E28" s="157" t="str">
        <f>VLOOKUP(A28,Holding!A:AL,38,0)</f>
        <v>Auto Ancillaries</v>
      </c>
      <c r="F28" s="158">
        <f>+VLOOKUP(A28,Holding!A:I,9,0)</f>
        <v>1210000</v>
      </c>
      <c r="G28" s="157">
        <f>+ROUND(+VLOOKUP(A28,Holding!A:R,18,0)/100000,2)</f>
        <v>2387.33</v>
      </c>
      <c r="H28" s="243">
        <f t="shared" si="1"/>
        <v>3.5499999999999997E-2</v>
      </c>
    </row>
    <row r="29" spans="1:8">
      <c r="A29" s="2" t="str">
        <f t="shared" si="0"/>
        <v>QLTEFINE018A01030</v>
      </c>
      <c r="B29" s="230">
        <f t="shared" si="2"/>
        <v>12</v>
      </c>
      <c r="C29" s="196" t="str">
        <f>VLOOKUP(A29,Holding!A:AM,39,0)</f>
        <v>Larsen &amp; Toubro Limited</v>
      </c>
      <c r="D29" s="127" t="s">
        <v>102</v>
      </c>
      <c r="E29" s="157" t="str">
        <f>VLOOKUP(A29,Holding!A:AL,38,0)</f>
        <v>Construction Project</v>
      </c>
      <c r="F29" s="158">
        <f>+VLOOKUP(A29,Holding!A:I,9,0)</f>
        <v>160214</v>
      </c>
      <c r="G29" s="157">
        <f>+ROUND(+VLOOKUP(A29,Holding!A:R,18,0)/100000,2)</f>
        <v>2317.09</v>
      </c>
      <c r="H29" s="16">
        <f t="shared" si="1"/>
        <v>3.4500000000000003E-2</v>
      </c>
    </row>
    <row r="30" spans="1:8">
      <c r="A30" s="2" t="str">
        <f t="shared" si="0"/>
        <v>QLTEFINE752E01010</v>
      </c>
      <c r="B30" s="230">
        <f t="shared" si="2"/>
        <v>13</v>
      </c>
      <c r="C30" s="196" t="str">
        <f>VLOOKUP(A30,Holding!A:AM,39,0)</f>
        <v>Power Grid Corporation of India Limited</v>
      </c>
      <c r="D30" s="127" t="s">
        <v>123</v>
      </c>
      <c r="E30" s="157" t="str">
        <f>VLOOKUP(A30,Holding!A:AL,38,0)</f>
        <v>Power</v>
      </c>
      <c r="F30" s="158">
        <f>+VLOOKUP(A30,Holding!A:I,9,0)</f>
        <v>1067661</v>
      </c>
      <c r="G30" s="157">
        <f>+ROUND(+VLOOKUP(A30,Holding!A:R,18,0)/100000,2)</f>
        <v>2212.19</v>
      </c>
      <c r="H30" s="16">
        <f t="shared" si="1"/>
        <v>3.2899999999999999E-2</v>
      </c>
    </row>
    <row r="31" spans="1:8">
      <c r="A31" s="2" t="str">
        <f t="shared" si="0"/>
        <v>QLTEFINE092A01019</v>
      </c>
      <c r="B31" s="230">
        <f t="shared" si="2"/>
        <v>14</v>
      </c>
      <c r="C31" s="196" t="str">
        <f>VLOOKUP(A31,Holding!A:AM,39,0)</f>
        <v>Tata Chemicals Limited</v>
      </c>
      <c r="D31" s="127" t="s">
        <v>133</v>
      </c>
      <c r="E31" s="157" t="str">
        <f>VLOOKUP(A31,Holding!A:AL,38,0)</f>
        <v>Chemicals</v>
      </c>
      <c r="F31" s="158">
        <f>+VLOOKUP(A31,Holding!A:I,9,0)</f>
        <v>385281</v>
      </c>
      <c r="G31" s="157">
        <f>+ROUND(+VLOOKUP(A31,Holding!A:R,18,0)/100000,2)</f>
        <v>2098.0500000000002</v>
      </c>
      <c r="H31" s="16">
        <f t="shared" si="1"/>
        <v>3.1199999999999999E-2</v>
      </c>
    </row>
    <row r="32" spans="1:8">
      <c r="A32" s="2" t="str">
        <f t="shared" si="0"/>
        <v>QLTEFINE129A01019</v>
      </c>
      <c r="B32" s="230">
        <f t="shared" si="2"/>
        <v>15</v>
      </c>
      <c r="C32" s="196" t="str">
        <f>VLOOKUP(A32,Holding!A:AM,39,0)</f>
        <v>GAIL (India) Limited</v>
      </c>
      <c r="D32" s="242" t="s">
        <v>122</v>
      </c>
      <c r="E32" s="157" t="str">
        <f>VLOOKUP(A32,Holding!A:AL,38,0)</f>
        <v>Gas</v>
      </c>
      <c r="F32" s="158">
        <f>+VLOOKUP(A32,Holding!A:I,9,0)</f>
        <v>437145</v>
      </c>
      <c r="G32" s="157">
        <f>+ROUND(+VLOOKUP(A32,Holding!A:R,18,0)/100000,2)</f>
        <v>2046.49</v>
      </c>
      <c r="H32" s="243">
        <f t="shared" si="1"/>
        <v>3.0499999999999999E-2</v>
      </c>
    </row>
    <row r="33" spans="1:8">
      <c r="A33" s="2" t="str">
        <f t="shared" si="0"/>
        <v>QLTEFINE059A01026</v>
      </c>
      <c r="B33" s="230">
        <f t="shared" si="2"/>
        <v>16</v>
      </c>
      <c r="C33" s="196" t="str">
        <f>VLOOKUP(A33,Holding!A:AM,39,0)</f>
        <v>Cipla Limited</v>
      </c>
      <c r="D33" s="127" t="s">
        <v>117</v>
      </c>
      <c r="E33" s="157" t="str">
        <f>VLOOKUP(A33,Holding!A:AL,38,0)</f>
        <v>Pharmaceuticals</v>
      </c>
      <c r="F33" s="158">
        <f>+VLOOKUP(A33,Holding!A:I,9,0)</f>
        <v>344616</v>
      </c>
      <c r="G33" s="157">
        <f>+ROUND(+VLOOKUP(A33,Holding!A:R,18,0)/100000,2)</f>
        <v>1982.75</v>
      </c>
      <c r="H33" s="16">
        <f t="shared" si="1"/>
        <v>2.9499999999999998E-2</v>
      </c>
    </row>
    <row r="34" spans="1:8">
      <c r="A34" s="2" t="str">
        <f t="shared" si="0"/>
        <v>QLTEFINE053A01029</v>
      </c>
      <c r="B34" s="230">
        <f t="shared" si="2"/>
        <v>17</v>
      </c>
      <c r="C34" s="196" t="str">
        <f>VLOOKUP(A34,Holding!A:AM,39,0)</f>
        <v>The Indian Hotels Company Limited</v>
      </c>
      <c r="D34" s="242" t="s">
        <v>131</v>
      </c>
      <c r="E34" s="157" t="str">
        <f>VLOOKUP(A34,Holding!A:AL,38,0)</f>
        <v>Hotels, Resorts And Other Recreational Activities</v>
      </c>
      <c r="F34" s="158">
        <f>+VLOOKUP(A34,Holding!A:I,9,0)</f>
        <v>1782765</v>
      </c>
      <c r="G34" s="157">
        <f>+ROUND(+VLOOKUP(A34,Holding!A:R,18,0)/100000,2)</f>
        <v>1926.28</v>
      </c>
      <c r="H34" s="243">
        <f t="shared" si="1"/>
        <v>2.87E-2</v>
      </c>
    </row>
    <row r="35" spans="1:8">
      <c r="A35" s="2" t="str">
        <f t="shared" si="0"/>
        <v>QLTEFINE397D01024</v>
      </c>
      <c r="B35" s="230">
        <f t="shared" si="2"/>
        <v>18</v>
      </c>
      <c r="C35" s="196" t="str">
        <f>VLOOKUP(A35,Holding!A:AM,39,0)</f>
        <v>Bharti Airtel Limited</v>
      </c>
      <c r="D35" s="127" t="s">
        <v>108</v>
      </c>
      <c r="E35" s="157" t="str">
        <f>VLOOKUP(A35,Holding!A:AL,38,0)</f>
        <v>Telecom - Services</v>
      </c>
      <c r="F35" s="158">
        <f>+VLOOKUP(A35,Holding!A:I,9,0)</f>
        <v>518775</v>
      </c>
      <c r="G35" s="157">
        <f>+ROUND(+VLOOKUP(A35,Holding!A:R,18,0)/100000,2)</f>
        <v>1806.37</v>
      </c>
      <c r="H35" s="16">
        <f t="shared" si="1"/>
        <v>2.69E-2</v>
      </c>
    </row>
    <row r="36" spans="1:8">
      <c r="A36" s="2" t="str">
        <f t="shared" si="0"/>
        <v>QLTEFINE075A01022</v>
      </c>
      <c r="B36" s="230">
        <f t="shared" si="2"/>
        <v>19</v>
      </c>
      <c r="C36" s="196" t="str">
        <f>VLOOKUP(A36,Holding!A:AM,39,0)</f>
        <v>Wipro Limited</v>
      </c>
      <c r="D36" s="242" t="s">
        <v>173</v>
      </c>
      <c r="E36" s="157" t="str">
        <f>VLOOKUP(A36,Holding!A:AL,38,0)</f>
        <v>Software</v>
      </c>
      <c r="F36" s="158">
        <f>+VLOOKUP(A36,Holding!A:I,9,0)</f>
        <v>371842</v>
      </c>
      <c r="G36" s="157">
        <f>+ROUND(+VLOOKUP(A36,Holding!A:R,18,0)/100000,2)</f>
        <v>1703.04</v>
      </c>
      <c r="H36" s="243">
        <f t="shared" si="1"/>
        <v>2.5399999999999999E-2</v>
      </c>
    </row>
    <row r="37" spans="1:8">
      <c r="A37" s="2" t="str">
        <f t="shared" si="0"/>
        <v>QLTEFINE877F01012</v>
      </c>
      <c r="B37" s="230">
        <f t="shared" si="2"/>
        <v>20</v>
      </c>
      <c r="C37" s="196" t="str">
        <f>VLOOKUP(A37,Holding!A:AM,39,0)</f>
        <v>PTC India Limited</v>
      </c>
      <c r="D37" s="127" t="s">
        <v>132</v>
      </c>
      <c r="E37" s="157" t="str">
        <f>VLOOKUP(A37,Holding!A:AL,38,0)</f>
        <v>Power</v>
      </c>
      <c r="F37" s="158">
        <f>+VLOOKUP(A37,Holding!A:I,9,0)</f>
        <v>1976669</v>
      </c>
      <c r="G37" s="157">
        <f>+ROUND(+VLOOKUP(A37,Holding!A:R,18,0)/100000,2)</f>
        <v>1662.38</v>
      </c>
      <c r="H37" s="16">
        <f t="shared" si="1"/>
        <v>2.4799999999999999E-2</v>
      </c>
    </row>
    <row r="38" spans="1:8">
      <c r="A38" s="2" t="str">
        <f t="shared" si="0"/>
        <v>QLTEFINE081A01012</v>
      </c>
      <c r="B38" s="230">
        <f t="shared" si="2"/>
        <v>21</v>
      </c>
      <c r="C38" s="196" t="str">
        <f>VLOOKUP(A38,Holding!A:AM,39,0)</f>
        <v>Tata Steel Limited</v>
      </c>
      <c r="D38" s="242" t="s">
        <v>109</v>
      </c>
      <c r="E38" s="157" t="str">
        <f>VLOOKUP(A38,Holding!A:AL,38,0)</f>
        <v>Ferrous Metals</v>
      </c>
      <c r="F38" s="158">
        <f>+VLOOKUP(A38,Holding!A:I,9,0)</f>
        <v>299024</v>
      </c>
      <c r="G38" s="157">
        <f>+ROUND(+VLOOKUP(A38,Holding!A:R,18,0)/100000,2)</f>
        <v>1384.63</v>
      </c>
      <c r="H38" s="243">
        <f t="shared" si="1"/>
        <v>2.06E-2</v>
      </c>
    </row>
    <row r="39" spans="1:8">
      <c r="A39" s="2" t="str">
        <f t="shared" si="0"/>
        <v>QLTEFINE237A01028</v>
      </c>
      <c r="B39" s="230">
        <f t="shared" si="2"/>
        <v>22</v>
      </c>
      <c r="C39" s="196" t="str">
        <f>VLOOKUP(A39,Holding!A:AM,39,0)</f>
        <v>Kotak Mahindra Bank Limited</v>
      </c>
      <c r="D39" s="127" t="s">
        <v>112</v>
      </c>
      <c r="E39" s="157" t="str">
        <f>VLOOKUP(A39,Holding!A:AL,38,0)</f>
        <v>Banks</v>
      </c>
      <c r="F39" s="158">
        <f>+VLOOKUP(A39,Holding!A:I,9,0)</f>
        <v>165201</v>
      </c>
      <c r="G39" s="157">
        <f>+ROUND(+VLOOKUP(A39,Holding!A:R,18,0)/100000,2)</f>
        <v>1278.9000000000001</v>
      </c>
      <c r="H39" s="16">
        <f t="shared" si="1"/>
        <v>1.9E-2</v>
      </c>
    </row>
    <row r="40" spans="1:8">
      <c r="A40" s="2" t="str">
        <f t="shared" si="0"/>
        <v>QLTEFINE347G01014</v>
      </c>
      <c r="B40" s="230">
        <f t="shared" si="2"/>
        <v>23</v>
      </c>
      <c r="C40" s="196" t="str">
        <f>VLOOKUP(A40,Holding!A:AM,39,0)</f>
        <v>Petronet LNG Limited</v>
      </c>
      <c r="D40" s="127" t="s">
        <v>167</v>
      </c>
      <c r="E40" s="157" t="str">
        <f>VLOOKUP(A40,Holding!A:AL,38,0)</f>
        <v>Gas</v>
      </c>
      <c r="F40" s="158">
        <f>+VLOOKUP(A40,Holding!A:I,9,0)</f>
        <v>339720</v>
      </c>
      <c r="G40" s="157">
        <f>+ROUND(+VLOOKUP(A40,Holding!A:R,18,0)/100000,2)</f>
        <v>1270.3800000000001</v>
      </c>
      <c r="H40" s="16">
        <f t="shared" si="1"/>
        <v>1.89E-2</v>
      </c>
    </row>
    <row r="41" spans="1:8">
      <c r="A41" s="2" t="str">
        <f t="shared" si="0"/>
        <v>QLTEFINE242A01010</v>
      </c>
      <c r="B41" s="230">
        <f t="shared" si="2"/>
        <v>24</v>
      </c>
      <c r="C41" s="196" t="str">
        <f>VLOOKUP(A41,Holding!A:AM,39,0)</f>
        <v>Indian Oil Corporation Limited</v>
      </c>
      <c r="D41" s="127" t="s">
        <v>143</v>
      </c>
      <c r="E41" s="157" t="str">
        <f>VLOOKUP(A41,Holding!A:AL,38,0)</f>
        <v>Petroleum Products</v>
      </c>
      <c r="F41" s="158">
        <f>+VLOOKUP(A41,Holding!A:I,9,0)</f>
        <v>313116</v>
      </c>
      <c r="G41" s="157">
        <f>+ROUND(+VLOOKUP(A41,Holding!A:R,18,0)/100000,2)</f>
        <v>1147.26</v>
      </c>
      <c r="H41" s="16">
        <f t="shared" si="1"/>
        <v>1.7100000000000001E-2</v>
      </c>
    </row>
    <row r="42" spans="1:8">
      <c r="B42" s="230"/>
      <c r="C42" s="156"/>
      <c r="D42" s="127"/>
      <c r="E42" s="247"/>
      <c r="F42" s="158"/>
      <c r="G42" s="157"/>
      <c r="H42" s="16"/>
    </row>
    <row r="43" spans="1:8">
      <c r="B43" s="230" t="s">
        <v>10</v>
      </c>
      <c r="C43" s="21" t="s">
        <v>39</v>
      </c>
      <c r="D43" s="21"/>
      <c r="E43" s="15" t="s">
        <v>79</v>
      </c>
      <c r="F43" s="68" t="s">
        <v>9</v>
      </c>
      <c r="G43" s="68" t="s">
        <v>9</v>
      </c>
      <c r="H43" s="197" t="s">
        <v>9</v>
      </c>
    </row>
    <row r="44" spans="1:8">
      <c r="B44" s="230"/>
      <c r="C44" s="14"/>
      <c r="D44" s="14"/>
      <c r="E44" s="15" t="s">
        <v>79</v>
      </c>
      <c r="F44" s="15"/>
      <c r="G44" s="15"/>
      <c r="H44" s="16"/>
    </row>
    <row r="45" spans="1:8" ht="12" customHeight="1">
      <c r="B45" s="230"/>
      <c r="C45" s="21" t="s">
        <v>51</v>
      </c>
      <c r="D45" s="21"/>
      <c r="E45" s="15" t="s">
        <v>79</v>
      </c>
      <c r="F45" s="166"/>
      <c r="G45" s="54">
        <f>SUM(G18:G43)</f>
        <v>59314.720000000001</v>
      </c>
      <c r="H45" s="59">
        <f>SUM(H18:H43)</f>
        <v>0.88319999999999999</v>
      </c>
    </row>
    <row r="46" spans="1:8">
      <c r="B46" s="230"/>
      <c r="C46" s="14"/>
      <c r="D46" s="14"/>
      <c r="E46" s="15" t="s">
        <v>79</v>
      </c>
      <c r="F46" s="54"/>
      <c r="G46" s="54"/>
      <c r="H46" s="59"/>
    </row>
    <row r="47" spans="1:8">
      <c r="B47" s="244"/>
      <c r="C47" s="21" t="s">
        <v>56</v>
      </c>
      <c r="D47" s="21"/>
      <c r="E47" s="54"/>
      <c r="F47" s="54"/>
      <c r="G47" s="54"/>
      <c r="H47" s="59"/>
    </row>
    <row r="48" spans="1:8">
      <c r="B48" s="244"/>
      <c r="C48" s="21"/>
      <c r="D48" s="21"/>
      <c r="E48" s="54"/>
      <c r="F48" s="54"/>
      <c r="G48" s="54"/>
      <c r="H48" s="59"/>
    </row>
    <row r="49" spans="1:9">
      <c r="B49" s="230" t="s">
        <v>7</v>
      </c>
      <c r="C49" s="21" t="s">
        <v>8</v>
      </c>
      <c r="D49" s="21"/>
      <c r="E49" s="54" t="s">
        <v>79</v>
      </c>
      <c r="F49" s="192" t="s">
        <v>9</v>
      </c>
      <c r="G49" s="192" t="s">
        <v>9</v>
      </c>
      <c r="H49" s="193" t="s">
        <v>9</v>
      </c>
    </row>
    <row r="50" spans="1:9">
      <c r="B50" s="230" t="s">
        <v>10</v>
      </c>
      <c r="C50" s="21" t="s">
        <v>11</v>
      </c>
      <c r="D50" s="21"/>
      <c r="E50" s="54" t="s">
        <v>79</v>
      </c>
      <c r="F50" s="192" t="s">
        <v>9</v>
      </c>
      <c r="G50" s="192" t="s">
        <v>9</v>
      </c>
      <c r="H50" s="193" t="s">
        <v>9</v>
      </c>
    </row>
    <row r="51" spans="1:9">
      <c r="B51" s="230" t="s">
        <v>12</v>
      </c>
      <c r="C51" s="9" t="s">
        <v>13</v>
      </c>
      <c r="D51" s="9"/>
      <c r="E51" s="54" t="s">
        <v>79</v>
      </c>
      <c r="F51" s="192" t="s">
        <v>9</v>
      </c>
      <c r="G51" s="192" t="s">
        <v>9</v>
      </c>
      <c r="H51" s="193" t="s">
        <v>9</v>
      </c>
    </row>
    <row r="52" spans="1:9">
      <c r="B52" s="230"/>
      <c r="C52" s="21" t="s">
        <v>80</v>
      </c>
      <c r="D52" s="21"/>
      <c r="E52" s="54" t="s">
        <v>79</v>
      </c>
      <c r="F52" s="83"/>
      <c r="G52" s="83" t="s">
        <v>9</v>
      </c>
      <c r="H52" s="84" t="s">
        <v>9</v>
      </c>
    </row>
    <row r="53" spans="1:9">
      <c r="B53" s="230"/>
      <c r="C53" s="21"/>
      <c r="D53" s="21"/>
      <c r="E53" s="54" t="s">
        <v>79</v>
      </c>
      <c r="F53" s="54"/>
      <c r="G53" s="54"/>
      <c r="H53" s="59"/>
    </row>
    <row r="54" spans="1:9">
      <c r="B54" s="230"/>
      <c r="C54" s="21" t="s">
        <v>57</v>
      </c>
      <c r="D54" s="21"/>
      <c r="E54" s="54" t="s">
        <v>79</v>
      </c>
      <c r="F54" s="83"/>
      <c r="G54" s="83"/>
      <c r="H54" s="84"/>
    </row>
    <row r="55" spans="1:9">
      <c r="B55" s="230"/>
      <c r="C55" s="21"/>
      <c r="D55" s="21"/>
      <c r="E55" s="54"/>
      <c r="F55" s="83"/>
      <c r="G55" s="83"/>
      <c r="H55" s="84"/>
    </row>
    <row r="56" spans="1:9">
      <c r="B56" s="230" t="s">
        <v>7</v>
      </c>
      <c r="C56" s="155" t="s">
        <v>178</v>
      </c>
      <c r="D56" s="21"/>
      <c r="E56" s="54"/>
      <c r="F56" s="83"/>
      <c r="G56" s="83"/>
      <c r="H56" s="84"/>
    </row>
    <row r="57" spans="1:9">
      <c r="A57" s="2" t="str">
        <f>+$A$16&amp;D57</f>
        <v>QLTEFIN002016Z129</v>
      </c>
      <c r="B57" s="230">
        <v>1</v>
      </c>
      <c r="C57" s="196" t="str">
        <f>+VLOOKUP(A57,Holding!A:F,6,0)&amp;"**"</f>
        <v>364 Days Tbill (MD 14/09/2017)**</v>
      </c>
      <c r="D57" s="14" t="s">
        <v>580</v>
      </c>
      <c r="E57" s="15" t="s">
        <v>172</v>
      </c>
      <c r="F57" s="158">
        <f>+VLOOKUP(A57,Holding!A:I,9,0)</f>
        <v>50000</v>
      </c>
      <c r="G57" s="157">
        <f>+ROUND(+VLOOKUP(A57,Holding!A:R,18,0)/100000,2)</f>
        <v>48.16</v>
      </c>
      <c r="H57" s="16">
        <f>+ROUND(G57/$G$68,4)</f>
        <v>6.9999999999999999E-4</v>
      </c>
      <c r="I57" s="294"/>
    </row>
    <row r="58" spans="1:9">
      <c r="B58" s="230"/>
      <c r="C58" s="14"/>
      <c r="D58" s="14"/>
      <c r="E58" s="15"/>
      <c r="F58" s="54"/>
      <c r="G58" s="15"/>
      <c r="H58" s="16"/>
    </row>
    <row r="59" spans="1:9" s="24" customFormat="1">
      <c r="B59" s="244"/>
      <c r="C59" s="21" t="s">
        <v>198</v>
      </c>
      <c r="D59" s="21"/>
      <c r="E59" s="54"/>
      <c r="F59" s="54"/>
      <c r="G59" s="54">
        <f>SUM(G57:G58)</f>
        <v>48.16</v>
      </c>
      <c r="H59" s="59">
        <f>SUM(H57:H58)</f>
        <v>6.9999999999999999E-4</v>
      </c>
    </row>
    <row r="60" spans="1:9">
      <c r="B60" s="230"/>
      <c r="C60" s="21"/>
      <c r="D60" s="21"/>
      <c r="E60" s="54"/>
      <c r="F60" s="83"/>
      <c r="G60" s="83"/>
      <c r="H60" s="84"/>
    </row>
    <row r="61" spans="1:9">
      <c r="A61" s="2" t="s">
        <v>614</v>
      </c>
      <c r="B61" s="230" t="s">
        <v>10</v>
      </c>
      <c r="C61" s="14" t="s">
        <v>82</v>
      </c>
      <c r="D61" s="21"/>
      <c r="E61" s="54" t="s">
        <v>79</v>
      </c>
      <c r="F61" s="83"/>
      <c r="G61" s="157">
        <f>+ROUND(+VLOOKUP(A61,Holding!A:R,18,0)/100000,2)</f>
        <v>7953.17</v>
      </c>
      <c r="H61" s="16">
        <f>+ROUND(G61/$G$68,4)</f>
        <v>0.11840000000000001</v>
      </c>
    </row>
    <row r="62" spans="1:9">
      <c r="B62" s="46"/>
      <c r="C62" s="14"/>
      <c r="D62" s="14"/>
      <c r="E62" s="15" t="s">
        <v>79</v>
      </c>
      <c r="F62" s="54"/>
      <c r="G62" s="54"/>
      <c r="H62" s="59"/>
    </row>
    <row r="63" spans="1:9">
      <c r="B63" s="46"/>
      <c r="C63" s="98" t="s">
        <v>84</v>
      </c>
      <c r="D63" s="14"/>
      <c r="E63" s="15"/>
      <c r="F63" s="54"/>
      <c r="G63" s="54">
        <f>G59+G61</f>
        <v>8001.33</v>
      </c>
      <c r="H63" s="59">
        <f>H59+H61</f>
        <v>0.11910000000000001</v>
      </c>
    </row>
    <row r="64" spans="1:9">
      <c r="B64" s="46"/>
      <c r="C64" s="14"/>
      <c r="D64" s="14"/>
      <c r="E64" s="15"/>
      <c r="F64" s="54"/>
      <c r="G64" s="54"/>
      <c r="H64" s="59"/>
    </row>
    <row r="65" spans="1:9">
      <c r="B65" s="46"/>
      <c r="C65" s="9" t="s">
        <v>83</v>
      </c>
      <c r="D65" s="9"/>
      <c r="E65" s="15" t="s">
        <v>79</v>
      </c>
      <c r="F65" s="54"/>
      <c r="G65" s="54"/>
      <c r="H65" s="59"/>
    </row>
    <row r="66" spans="1:9">
      <c r="B66" s="46"/>
      <c r="C66" s="14" t="s">
        <v>35</v>
      </c>
      <c r="D66" s="14"/>
      <c r="E66" s="15" t="s">
        <v>79</v>
      </c>
      <c r="F66" s="54"/>
      <c r="G66" s="276">
        <f>G68-G63-G45</f>
        <v>-161.72999999999593</v>
      </c>
      <c r="H66" s="59">
        <f>+H68-H63-H45</f>
        <v>-2.2999999999999687E-3</v>
      </c>
    </row>
    <row r="67" spans="1:9">
      <c r="B67" s="46"/>
      <c r="C67" s="21"/>
      <c r="D67" s="21"/>
      <c r="E67" s="15"/>
      <c r="F67" s="15"/>
      <c r="G67" s="14"/>
      <c r="H67" s="61"/>
    </row>
    <row r="68" spans="1:9" s="24" customFormat="1">
      <c r="A68" s="24" t="s">
        <v>355</v>
      </c>
      <c r="B68" s="52"/>
      <c r="C68" s="21" t="s">
        <v>14</v>
      </c>
      <c r="D68" s="21"/>
      <c r="E68" s="54"/>
      <c r="F68" s="54"/>
      <c r="G68" s="157">
        <f>+ROUND(+VLOOKUP(A68,Holding!A:R,18,0)/100000,2)</f>
        <v>67154.320000000007</v>
      </c>
      <c r="H68" s="59">
        <f>+ROUND(G68/$G$68,4)</f>
        <v>1</v>
      </c>
      <c r="I68" s="409"/>
    </row>
    <row r="69" spans="1:9" ht="13.5" thickBot="1">
      <c r="B69" s="72"/>
      <c r="C69" s="73"/>
      <c r="D69" s="73"/>
      <c r="E69" s="74"/>
      <c r="F69" s="74"/>
      <c r="G69" s="73"/>
      <c r="H69" s="75"/>
    </row>
    <row r="70" spans="1:9">
      <c r="B70" s="143"/>
      <c r="C70" s="109"/>
      <c r="D70" s="109"/>
      <c r="E70" s="279"/>
      <c r="F70" s="279"/>
      <c r="G70" s="109"/>
      <c r="H70" s="138"/>
    </row>
    <row r="71" spans="1:9">
      <c r="B71" s="3" t="s">
        <v>15</v>
      </c>
      <c r="C71" s="4"/>
      <c r="D71" s="4"/>
      <c r="E71" s="4"/>
      <c r="F71" s="4"/>
      <c r="G71" s="4"/>
      <c r="H71" s="41"/>
    </row>
    <row r="72" spans="1:9">
      <c r="B72" s="188" t="s">
        <v>16</v>
      </c>
      <c r="C72" s="109" t="str">
        <f>"Total Non performing Assets provided for and its percentage to NAV as on "&amp;TEXT(Index!C23,"mmmmmmmmmm dd, yyyy")&amp;" - NIL"</f>
        <v>Total Non performing Assets provided for and its percentage to NAV as on January 31, 2017 - NIL</v>
      </c>
      <c r="D72" s="109"/>
      <c r="E72" s="4"/>
      <c r="F72" s="4"/>
      <c r="G72" s="4"/>
      <c r="H72" s="41"/>
    </row>
    <row r="73" spans="1:9">
      <c r="B73" s="188" t="s">
        <v>17</v>
      </c>
      <c r="C73" s="109" t="s">
        <v>186</v>
      </c>
      <c r="D73" s="109"/>
      <c r="E73" s="4"/>
      <c r="F73" s="4"/>
      <c r="G73" s="109"/>
      <c r="H73" s="138"/>
    </row>
    <row r="74" spans="1:9">
      <c r="B74" s="188" t="s">
        <v>18</v>
      </c>
      <c r="C74" s="109" t="s">
        <v>19</v>
      </c>
      <c r="D74" s="109"/>
      <c r="E74" s="4"/>
      <c r="F74" s="4"/>
      <c r="G74" s="109"/>
      <c r="H74" s="138"/>
    </row>
    <row r="75" spans="1:9" ht="25.5">
      <c r="B75" s="188"/>
      <c r="C75" s="355" t="s">
        <v>171</v>
      </c>
      <c r="D75" s="356" t="str">
        <f>"As on "&amp;TEXT(Index!C24,"mmmmmmmmmm dd, yyyy")&amp;" (Rs.)"</f>
        <v>As on January 31, 2017 (Rs.)</v>
      </c>
      <c r="E75" s="4"/>
      <c r="F75" s="4"/>
      <c r="G75" s="109"/>
      <c r="H75" s="142"/>
    </row>
    <row r="76" spans="1:9">
      <c r="A76" s="2" t="s">
        <v>374</v>
      </c>
      <c r="B76" s="188"/>
      <c r="C76" s="349" t="s">
        <v>21</v>
      </c>
      <c r="D76" s="360">
        <f>+VLOOKUP(A76,Bloomberg!C:E,3,0)</f>
        <v>46.44</v>
      </c>
      <c r="E76" s="4"/>
      <c r="F76" s="4"/>
      <c r="G76" s="109"/>
      <c r="H76" s="138"/>
    </row>
    <row r="77" spans="1:9" ht="12.75" customHeight="1">
      <c r="A77" s="2" t="s">
        <v>373</v>
      </c>
      <c r="B77" s="188"/>
      <c r="C77" s="349" t="s">
        <v>22</v>
      </c>
      <c r="D77" s="360">
        <f>+VLOOKUP(A77,Bloomberg!C:E,3,0)</f>
        <v>46.83</v>
      </c>
      <c r="E77" s="4"/>
      <c r="F77" s="4"/>
      <c r="G77" s="109"/>
      <c r="H77" s="138"/>
    </row>
    <row r="78" spans="1:9" ht="12.75" customHeight="1">
      <c r="B78" s="188" t="s">
        <v>23</v>
      </c>
      <c r="C78" s="109" t="str">
        <f>"Dividend/ Bonus declared during the period ended "&amp;TEXT(Index!C23,"mmmmmmmmmm dd, yyyy")&amp;" - NIL"</f>
        <v>Dividend/ Bonus declared during the period ended January 31, 2017 - NIL</v>
      </c>
      <c r="D78" s="109"/>
      <c r="E78" s="4"/>
      <c r="F78" s="4"/>
      <c r="G78" s="4"/>
      <c r="H78" s="41"/>
    </row>
    <row r="79" spans="1:9" ht="12.75" customHeight="1">
      <c r="B79" s="188" t="s">
        <v>24</v>
      </c>
      <c r="C79" s="109" t="str">
        <f>"Total outstanding exposure in derivative instruments as on "&amp;TEXT(Index!C23,"mmmmmmmmmm dd, yyyy")&amp;" - NIL"</f>
        <v>Total outstanding exposure in derivative instruments as on January 31, 2017 - NIL</v>
      </c>
      <c r="D79" s="109"/>
      <c r="E79" s="4"/>
      <c r="F79" s="4"/>
      <c r="G79" s="4"/>
      <c r="H79" s="41"/>
    </row>
    <row r="80" spans="1:9" ht="12.75" customHeight="1">
      <c r="B80" s="188" t="s">
        <v>25</v>
      </c>
      <c r="C80" s="109"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80" s="109"/>
      <c r="E80" s="4"/>
      <c r="F80" s="4"/>
      <c r="G80" s="4"/>
      <c r="H80" s="41"/>
    </row>
    <row r="81" spans="2:8" ht="12.75" customHeight="1">
      <c r="B81" s="188" t="s">
        <v>26</v>
      </c>
      <c r="C81" s="109" t="s">
        <v>187</v>
      </c>
      <c r="D81" s="109"/>
      <c r="E81" s="4"/>
      <c r="F81" s="4"/>
      <c r="G81" s="4"/>
      <c r="H81" s="41"/>
    </row>
    <row r="82" spans="2:8" ht="12.75" customHeight="1">
      <c r="B82" s="188" t="s">
        <v>27</v>
      </c>
      <c r="C82" s="1" t="s">
        <v>626</v>
      </c>
      <c r="D82" s="109"/>
      <c r="E82" s="4"/>
      <c r="F82" s="4"/>
      <c r="G82" s="4"/>
      <c r="H82" s="41"/>
    </row>
    <row r="83" spans="2:8" ht="12.75" customHeight="1">
      <c r="B83" s="188" t="s">
        <v>37</v>
      </c>
      <c r="C83" s="109" t="s">
        <v>188</v>
      </c>
      <c r="D83" s="109"/>
      <c r="E83" s="4"/>
      <c r="F83" s="4"/>
      <c r="G83" s="4"/>
      <c r="H83" s="41"/>
    </row>
    <row r="84" spans="2:8" ht="12.75" customHeight="1">
      <c r="B84" s="188" t="s">
        <v>53</v>
      </c>
      <c r="C84" s="109" t="s">
        <v>189</v>
      </c>
      <c r="D84" s="109"/>
      <c r="E84" s="4"/>
      <c r="F84" s="4"/>
      <c r="G84" s="4"/>
      <c r="H84" s="41"/>
    </row>
    <row r="85" spans="2:8" ht="12.75" customHeight="1">
      <c r="B85" s="188" t="s">
        <v>54</v>
      </c>
      <c r="C85" s="1" t="str">
        <f>"Total Brokerage Paid for Buying/ Selling of Investment for the month ended "&amp;TEXT(Index!C23,"mmmmmmmmmm dd, yyyy")&amp;" is 399423.74/-"</f>
        <v>Total Brokerage Paid for Buying/ Selling of Investment for the month ended January 31, 2017 is 399423.74/-</v>
      </c>
      <c r="D85" s="109"/>
      <c r="E85" s="4"/>
      <c r="F85" s="4"/>
      <c r="G85" s="4"/>
      <c r="H85" s="41"/>
    </row>
    <row r="86" spans="2:8" ht="12.75" customHeight="1">
      <c r="B86" s="188"/>
      <c r="C86" s="109"/>
      <c r="D86" s="109"/>
      <c r="E86" s="4"/>
      <c r="F86" s="4"/>
      <c r="G86" s="4"/>
      <c r="H86" s="41"/>
    </row>
    <row r="87" spans="2:8" s="24" customFormat="1" ht="12.75" customHeight="1">
      <c r="B87" s="338" t="s">
        <v>28</v>
      </c>
      <c r="C87" s="336" t="s">
        <v>29</v>
      </c>
      <c r="D87" s="109"/>
      <c r="E87" s="4"/>
      <c r="F87" s="4"/>
      <c r="G87" s="4"/>
      <c r="H87" s="41"/>
    </row>
    <row r="88" spans="2:8" s="24" customFormat="1" ht="12.75" customHeight="1">
      <c r="B88" s="338" t="s">
        <v>430</v>
      </c>
      <c r="C88" s="336"/>
      <c r="D88" s="109"/>
      <c r="E88" s="4"/>
      <c r="F88" s="4"/>
      <c r="G88" s="4"/>
      <c r="H88" s="41"/>
    </row>
    <row r="89" spans="2:8" s="24" customFormat="1" ht="12.75" customHeight="1">
      <c r="B89" s="338" t="s">
        <v>47</v>
      </c>
      <c r="C89" s="336" t="s">
        <v>48</v>
      </c>
      <c r="D89" s="109"/>
      <c r="E89" s="4"/>
      <c r="F89" s="4"/>
      <c r="G89" s="4"/>
      <c r="H89" s="41"/>
    </row>
    <row r="90" spans="2:8" ht="12.75" customHeight="1">
      <c r="B90" s="339" t="s">
        <v>40</v>
      </c>
      <c r="C90" s="336"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H18:H41"/>
  </sortState>
  <mergeCells count="6">
    <mergeCell ref="B10:H10"/>
    <mergeCell ref="B5:H6"/>
    <mergeCell ref="B1:H1"/>
    <mergeCell ref="B3:H3"/>
    <mergeCell ref="B4:H4"/>
    <mergeCell ref="B8:H8"/>
  </mergeCells>
  <pageMargins left="0.75" right="0.53" top="0.7" bottom="0.66" header="0.5" footer="0.5"/>
  <pageSetup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topLeftCell="B1" zoomScale="90" zoomScaleNormal="90" workbookViewId="0">
      <selection activeCell="I9" sqref="I9"/>
    </sheetView>
  </sheetViews>
  <sheetFormatPr defaultColWidth="16.7109375" defaultRowHeight="12.75"/>
  <cols>
    <col min="1" max="1" width="16.140625" style="294" hidden="1" customWidth="1"/>
    <col min="2" max="2" width="7" style="122" customWidth="1"/>
    <col min="3" max="3" width="50.7109375" style="122" customWidth="1"/>
    <col min="4" max="6" width="16.7109375" style="294" customWidth="1"/>
    <col min="7" max="7" width="19.7109375" style="294" bestFit="1" customWidth="1"/>
    <col min="8" max="8" width="16.7109375" style="294" customWidth="1"/>
    <col min="9" max="16384" width="16.7109375" style="294"/>
  </cols>
  <sheetData>
    <row r="1" spans="1:9">
      <c r="B1" s="457" t="s">
        <v>0</v>
      </c>
      <c r="C1" s="458"/>
      <c r="D1" s="458"/>
      <c r="E1" s="458"/>
      <c r="F1" s="458"/>
      <c r="G1" s="458"/>
      <c r="H1" s="459"/>
    </row>
    <row r="2" spans="1:9">
      <c r="B2" s="89"/>
      <c r="H2" s="295"/>
    </row>
    <row r="3" spans="1:9">
      <c r="B3" s="460" t="s">
        <v>1</v>
      </c>
      <c r="C3" s="461"/>
      <c r="D3" s="461"/>
      <c r="E3" s="461"/>
      <c r="F3" s="461"/>
      <c r="G3" s="461"/>
      <c r="H3" s="462"/>
    </row>
    <row r="4" spans="1:9">
      <c r="B4" s="460" t="s">
        <v>2</v>
      </c>
      <c r="C4" s="461"/>
      <c r="D4" s="461"/>
      <c r="E4" s="461"/>
      <c r="F4" s="461"/>
      <c r="G4" s="461"/>
      <c r="H4" s="462"/>
    </row>
    <row r="5" spans="1:9" ht="15" customHeight="1">
      <c r="B5" s="447" t="s">
        <v>134</v>
      </c>
      <c r="C5" s="448"/>
      <c r="D5" s="448"/>
      <c r="E5" s="448"/>
      <c r="F5" s="448"/>
      <c r="G5" s="448"/>
      <c r="H5" s="449"/>
    </row>
    <row r="6" spans="1:9">
      <c r="B6" s="447"/>
      <c r="C6" s="448"/>
      <c r="D6" s="448"/>
      <c r="E6" s="448"/>
      <c r="F6" s="448"/>
      <c r="G6" s="448"/>
      <c r="H6" s="449"/>
    </row>
    <row r="7" spans="1:9">
      <c r="B7" s="89"/>
      <c r="H7" s="295"/>
    </row>
    <row r="8" spans="1:9">
      <c r="B8" s="463" t="s">
        <v>92</v>
      </c>
      <c r="C8" s="464"/>
      <c r="D8" s="464"/>
      <c r="E8" s="464"/>
      <c r="F8" s="464"/>
      <c r="G8" s="464"/>
      <c r="H8" s="465"/>
    </row>
    <row r="9" spans="1:9" ht="7.5" customHeight="1">
      <c r="B9" s="89"/>
      <c r="H9" s="295"/>
      <c r="I9" s="294" t="s">
        <v>1053</v>
      </c>
    </row>
    <row r="10" spans="1:9" ht="13.5" customHeight="1">
      <c r="B10" s="466" t="str">
        <f>"Monthly Portfolio Statement of the Quantum Liquid Fund for the period ended "&amp;TEXT(Index!C23,"mmmmmmmmmm dd, yyyy")</f>
        <v>Monthly Portfolio Statement of the Quantum Liquid Fund for the period ended January 31, 2017</v>
      </c>
      <c r="C10" s="467"/>
      <c r="D10" s="467"/>
      <c r="E10" s="467"/>
      <c r="F10" s="467"/>
      <c r="G10" s="467"/>
      <c r="H10" s="468"/>
    </row>
    <row r="11" spans="1:9" ht="13.5" thickBot="1">
      <c r="B11" s="91"/>
      <c r="C11" s="133"/>
      <c r="D11" s="296"/>
      <c r="E11" s="296"/>
      <c r="F11" s="296"/>
      <c r="G11" s="296"/>
      <c r="H11" s="297"/>
    </row>
    <row r="12" spans="1:9" ht="25.5">
      <c r="B12" s="298" t="s">
        <v>3</v>
      </c>
      <c r="C12" s="299" t="s">
        <v>4</v>
      </c>
      <c r="D12" s="300" t="s">
        <v>97</v>
      </c>
      <c r="E12" s="299" t="s">
        <v>42</v>
      </c>
      <c r="F12" s="299" t="s">
        <v>5</v>
      </c>
      <c r="G12" s="264" t="s">
        <v>147</v>
      </c>
      <c r="H12" s="301" t="s">
        <v>6</v>
      </c>
    </row>
    <row r="13" spans="1:9">
      <c r="B13" s="94"/>
      <c r="C13" s="302"/>
      <c r="D13" s="134"/>
      <c r="E13" s="302"/>
      <c r="F13" s="302"/>
      <c r="G13" s="303"/>
      <c r="H13" s="304"/>
    </row>
    <row r="14" spans="1:9">
      <c r="A14" s="294" t="s">
        <v>155</v>
      </c>
      <c r="B14" s="94"/>
      <c r="C14" s="305" t="s">
        <v>81</v>
      </c>
      <c r="D14" s="134"/>
      <c r="E14" s="302"/>
      <c r="F14" s="302"/>
      <c r="G14" s="303"/>
      <c r="H14" s="304"/>
    </row>
    <row r="15" spans="1:9">
      <c r="B15" s="94" t="s">
        <v>7</v>
      </c>
      <c r="C15" s="306" t="s">
        <v>8</v>
      </c>
      <c r="D15" s="134"/>
      <c r="E15" s="302"/>
      <c r="F15" s="103" t="s">
        <v>9</v>
      </c>
      <c r="G15" s="103" t="s">
        <v>9</v>
      </c>
      <c r="H15" s="198" t="s">
        <v>9</v>
      </c>
    </row>
    <row r="16" spans="1:9">
      <c r="B16" s="94" t="s">
        <v>10</v>
      </c>
      <c r="C16" s="306" t="s">
        <v>11</v>
      </c>
      <c r="D16" s="134"/>
      <c r="E16" s="307"/>
      <c r="F16" s="103" t="s">
        <v>9</v>
      </c>
      <c r="G16" s="103" t="s">
        <v>9</v>
      </c>
      <c r="H16" s="198" t="s">
        <v>9</v>
      </c>
    </row>
    <row r="17" spans="1:8">
      <c r="B17" s="94" t="s">
        <v>12</v>
      </c>
      <c r="C17" s="305" t="s">
        <v>13</v>
      </c>
      <c r="D17" s="134"/>
      <c r="E17" s="266"/>
      <c r="F17" s="103" t="s">
        <v>9</v>
      </c>
      <c r="G17" s="103" t="s">
        <v>9</v>
      </c>
      <c r="H17" s="198" t="s">
        <v>9</v>
      </c>
    </row>
    <row r="18" spans="1:8">
      <c r="B18" s="101"/>
      <c r="C18" s="302"/>
      <c r="D18" s="302"/>
      <c r="E18" s="152"/>
      <c r="F18" s="113"/>
      <c r="G18" s="311"/>
      <c r="H18" s="308"/>
    </row>
    <row r="19" spans="1:8">
      <c r="B19" s="94"/>
      <c r="C19" s="305" t="s">
        <v>86</v>
      </c>
      <c r="D19" s="134"/>
      <c r="E19" s="307"/>
      <c r="F19" s="100"/>
      <c r="G19" s="103" t="s">
        <v>9</v>
      </c>
      <c r="H19" s="198" t="s">
        <v>9</v>
      </c>
    </row>
    <row r="20" spans="1:8" ht="15" customHeight="1">
      <c r="B20" s="94"/>
      <c r="C20" s="302"/>
      <c r="D20" s="134"/>
      <c r="E20" s="307"/>
      <c r="F20" s="302"/>
      <c r="G20" s="303"/>
      <c r="H20" s="308"/>
    </row>
    <row r="21" spans="1:8" s="309" customFormat="1" ht="15" customHeight="1">
      <c r="B21" s="94"/>
      <c r="C21" s="49" t="s">
        <v>55</v>
      </c>
      <c r="D21" s="134"/>
      <c r="E21" s="307"/>
      <c r="F21" s="302"/>
      <c r="G21" s="303"/>
      <c r="H21" s="308"/>
    </row>
    <row r="22" spans="1:8" s="309" customFormat="1" ht="15" customHeight="1">
      <c r="B22" s="94"/>
      <c r="C22" s="49"/>
      <c r="D22" s="134"/>
      <c r="E22" s="307"/>
      <c r="F22" s="302"/>
      <c r="G22" s="303"/>
      <c r="H22" s="308"/>
    </row>
    <row r="23" spans="1:8" s="309" customFormat="1" ht="15" customHeight="1">
      <c r="B23" s="94" t="s">
        <v>7</v>
      </c>
      <c r="C23" s="49" t="s">
        <v>169</v>
      </c>
      <c r="D23" s="134"/>
      <c r="E23" s="152"/>
      <c r="F23" s="310"/>
      <c r="G23" s="303"/>
      <c r="H23" s="308"/>
    </row>
    <row r="24" spans="1:8" ht="15" customHeight="1">
      <c r="A24" s="294" t="str">
        <f>$A$14&amp;D24</f>
        <v>QLFINE434A16OQ8</v>
      </c>
      <c r="B24" s="101">
        <v>1</v>
      </c>
      <c r="C24" s="196" t="str">
        <f>+VLOOKUP(A24,Holding!A:F,6,0)&amp;"**"</f>
        <v>Andhra Bank CD (MD 10/02/2017)**</v>
      </c>
      <c r="D24" s="302" t="s">
        <v>587</v>
      </c>
      <c r="E24" s="152" t="s">
        <v>490</v>
      </c>
      <c r="F24" s="113">
        <v>500</v>
      </c>
      <c r="G24" s="157">
        <f>+ROUND(+VLOOKUP(A24,Holding!A:R,18,0)/100000,2)</f>
        <v>499.23</v>
      </c>
      <c r="H24" s="308">
        <f>+ROUND(G24/$G$49,4)</f>
        <v>5.4699999999999999E-2</v>
      </c>
    </row>
    <row r="25" spans="1:8" ht="15" customHeight="1">
      <c r="B25" s="101"/>
      <c r="C25" s="302"/>
      <c r="D25" s="302"/>
      <c r="E25" s="239"/>
      <c r="F25" s="113"/>
      <c r="G25" s="312"/>
      <c r="H25" s="308"/>
    </row>
    <row r="26" spans="1:8" ht="15" customHeight="1">
      <c r="B26" s="101"/>
      <c r="C26" s="313" t="s">
        <v>199</v>
      </c>
      <c r="D26" s="302"/>
      <c r="E26" s="239"/>
      <c r="F26" s="165"/>
      <c r="G26" s="272">
        <f>SUM(G24:G25)</f>
        <v>499.23</v>
      </c>
      <c r="H26" s="399">
        <f>SUM(H24:H25)</f>
        <v>5.4699999999999999E-2</v>
      </c>
    </row>
    <row r="27" spans="1:8" ht="15" customHeight="1">
      <c r="B27" s="101"/>
      <c r="C27" s="313"/>
      <c r="D27" s="302"/>
      <c r="E27" s="239"/>
      <c r="F27" s="165"/>
      <c r="G27" s="272"/>
      <c r="H27" s="189"/>
    </row>
    <row r="28" spans="1:8" ht="15" customHeight="1">
      <c r="B28" s="94" t="s">
        <v>10</v>
      </c>
      <c r="C28" s="49" t="s">
        <v>428</v>
      </c>
      <c r="D28" s="302"/>
      <c r="E28" s="239"/>
      <c r="F28" s="165"/>
      <c r="G28" s="272"/>
      <c r="H28" s="189"/>
    </row>
    <row r="29" spans="1:8" ht="15" customHeight="1">
      <c r="A29" s="294" t="str">
        <f>$A$14&amp;D29</f>
        <v>QLFINE261F14AX4</v>
      </c>
      <c r="B29" s="101">
        <v>1</v>
      </c>
      <c r="C29" s="196" t="str">
        <f>+VLOOKUP(A29,Holding!A:F,6,0)&amp;"**"</f>
        <v>National Bank For Agri and Rural CP(MD 06/03/2017)**</v>
      </c>
      <c r="D29" s="302" t="s">
        <v>591</v>
      </c>
      <c r="E29" s="152" t="s">
        <v>570</v>
      </c>
      <c r="F29" s="113">
        <v>100</v>
      </c>
      <c r="G29" s="157">
        <f>+ROUND(+VLOOKUP(A29,Holding!A:R,18,0)/100000,2)</f>
        <v>497.18</v>
      </c>
      <c r="H29" s="308">
        <f>+ROUND(G29/$G$49,4)</f>
        <v>5.45E-2</v>
      </c>
    </row>
    <row r="30" spans="1:8" ht="15" customHeight="1">
      <c r="B30" s="101"/>
      <c r="C30" s="313"/>
      <c r="D30" s="302"/>
      <c r="E30" s="152"/>
      <c r="F30" s="165"/>
      <c r="G30" s="272"/>
      <c r="H30" s="189"/>
    </row>
    <row r="31" spans="1:8" ht="15" customHeight="1">
      <c r="B31" s="101"/>
      <c r="C31" s="313" t="s">
        <v>429</v>
      </c>
      <c r="D31" s="302"/>
      <c r="E31" s="239"/>
      <c r="F31" s="165"/>
      <c r="G31" s="272">
        <f>SUM(G29:G29)</f>
        <v>497.18</v>
      </c>
      <c r="H31" s="363">
        <f>SUM(H29:H29)</f>
        <v>5.45E-2</v>
      </c>
    </row>
    <row r="32" spans="1:8" ht="15" customHeight="1">
      <c r="B32" s="101"/>
      <c r="C32" s="313"/>
      <c r="D32" s="302"/>
      <c r="E32" s="239"/>
      <c r="F32" s="165"/>
      <c r="G32" s="272"/>
      <c r="H32" s="189"/>
    </row>
    <row r="33" spans="1:8">
      <c r="B33" s="94" t="s">
        <v>12</v>
      </c>
      <c r="C33" s="315" t="s">
        <v>178</v>
      </c>
      <c r="D33" s="302"/>
      <c r="E33" s="152"/>
      <c r="F33" s="113"/>
      <c r="G33" s="312"/>
      <c r="H33" s="308"/>
    </row>
    <row r="34" spans="1:8">
      <c r="A34" s="294" t="str">
        <f>$A$14&amp;D34</f>
        <v>QLFIN002016X363</v>
      </c>
      <c r="B34" s="184">
        <v>1</v>
      </c>
      <c r="C34" s="196" t="str">
        <f>+VLOOKUP(A34,Holding!A:F,6,0)&amp;"**"</f>
        <v>91 Days Tbill (MD 09/03/2017)**</v>
      </c>
      <c r="D34" s="302" t="s">
        <v>600</v>
      </c>
      <c r="E34" s="154" t="s">
        <v>172</v>
      </c>
      <c r="F34" s="113">
        <f>VLOOKUP(A34,Holding!A:I,9,0)</f>
        <v>3000000</v>
      </c>
      <c r="G34" s="157">
        <f>+ROUND(+VLOOKUP(A34,Holding!A:R,18,0)/100000,2)</f>
        <v>2981.96</v>
      </c>
      <c r="H34" s="308">
        <f>+ROUND(G34/$G$49,4)</f>
        <v>0.32679999999999998</v>
      </c>
    </row>
    <row r="35" spans="1:8">
      <c r="A35" s="294" t="str">
        <f>$A$14&amp;D35</f>
        <v>QLFIN002016X348</v>
      </c>
      <c r="B35" s="184">
        <f>+B34+1</f>
        <v>2</v>
      </c>
      <c r="C35" s="196" t="str">
        <f>+VLOOKUP(A35,Holding!A:F,6,0)&amp;"**"</f>
        <v>91 Days Tbill (MD 23/02/2017)**</v>
      </c>
      <c r="D35" s="302" t="s">
        <v>594</v>
      </c>
      <c r="E35" s="154" t="s">
        <v>172</v>
      </c>
      <c r="F35" s="113">
        <f>VLOOKUP(A35,Holding!A:I,9,0)</f>
        <v>2000000</v>
      </c>
      <c r="G35" s="157">
        <f>+ROUND(+VLOOKUP(A35,Holding!A:R,18,0)/100000,2)</f>
        <v>1992.59</v>
      </c>
      <c r="H35" s="308">
        <f>+ROUND(G35/$G$49,4)</f>
        <v>0.21840000000000001</v>
      </c>
    </row>
    <row r="36" spans="1:8">
      <c r="A36" s="294" t="str">
        <f>$A$14&amp;D36</f>
        <v>QLFIN002016X389</v>
      </c>
      <c r="B36" s="184">
        <f>+B35+1</f>
        <v>3</v>
      </c>
      <c r="C36" s="196" t="str">
        <f>+VLOOKUP(A36,Holding!A:F,6,0)</f>
        <v>91 Days Tbill (MD 23/03/2017)</v>
      </c>
      <c r="D36" s="302" t="s">
        <v>603</v>
      </c>
      <c r="E36" s="154" t="s">
        <v>172</v>
      </c>
      <c r="F36" s="113">
        <f>VLOOKUP(A36,Holding!A:I,9,0)</f>
        <v>1000000</v>
      </c>
      <c r="G36" s="157">
        <f>+ROUND(+VLOOKUP(A36,Holding!A:R,18,0)/100000,2)</f>
        <v>991.66</v>
      </c>
      <c r="H36" s="308">
        <f>+ROUND(G36/$G$49,4)</f>
        <v>0.1087</v>
      </c>
    </row>
    <row r="37" spans="1:8">
      <c r="A37" s="294" t="str">
        <f>$A$14&amp;D37</f>
        <v>QLFIN002016X355</v>
      </c>
      <c r="B37" s="184">
        <f>+B36+1</f>
        <v>4</v>
      </c>
      <c r="C37" s="196" t="str">
        <f>+VLOOKUP(A37,Holding!A:F,6,0)</f>
        <v>91 Days Tbill (MD 02/03/2017)</v>
      </c>
      <c r="D37" s="302" t="s">
        <v>597</v>
      </c>
      <c r="E37" s="154" t="s">
        <v>172</v>
      </c>
      <c r="F37" s="113">
        <f>VLOOKUP(A37,Holding!A:I,9,0)</f>
        <v>500000</v>
      </c>
      <c r="G37" s="157">
        <f>+ROUND(+VLOOKUP(A37,Holding!A:R,18,0)/100000,2)</f>
        <v>497.57</v>
      </c>
      <c r="H37" s="308">
        <f>+ROUND(G37/$G$49,4)</f>
        <v>5.45E-2</v>
      </c>
    </row>
    <row r="38" spans="1:8">
      <c r="A38" s="294" t="str">
        <f>$A$14&amp;D38</f>
        <v>QLFIN002016Y130</v>
      </c>
      <c r="B38" s="184">
        <f>+B37+1</f>
        <v>5</v>
      </c>
      <c r="C38" s="196" t="str">
        <f>+VLOOKUP(A38,Holding!A:F,6,0)&amp;"**"</f>
        <v>182 Days Tbill (MD 23/03/2017)**</v>
      </c>
      <c r="D38" s="302" t="s">
        <v>612</v>
      </c>
      <c r="E38" s="154" t="s">
        <v>172</v>
      </c>
      <c r="F38" s="113">
        <f>VLOOKUP(A38,Holding!A:I,9,0)</f>
        <v>100000</v>
      </c>
      <c r="G38" s="157">
        <f>+ROUND(+VLOOKUP(A38,Holding!A:R,18,0)/100000,2)</f>
        <v>99.17</v>
      </c>
      <c r="H38" s="308">
        <f>+ROUND(G38/$G$49,4)</f>
        <v>1.09E-2</v>
      </c>
    </row>
    <row r="39" spans="1:8">
      <c r="B39" s="184"/>
      <c r="C39" s="314"/>
      <c r="D39" s="302"/>
      <c r="E39" s="154"/>
      <c r="F39" s="187"/>
      <c r="G39" s="316"/>
      <c r="H39" s="308"/>
    </row>
    <row r="40" spans="1:8">
      <c r="B40" s="317"/>
      <c r="C40" s="313" t="s">
        <v>202</v>
      </c>
      <c r="D40" s="302"/>
      <c r="E40" s="302"/>
      <c r="F40" s="302"/>
      <c r="G40" s="318">
        <f>SUM(G34:G39)</f>
        <v>6562.95</v>
      </c>
      <c r="H40" s="319">
        <f>SUM(H34:H39)</f>
        <v>0.71930000000000005</v>
      </c>
    </row>
    <row r="41" spans="1:8">
      <c r="B41" s="317"/>
      <c r="C41" s="313"/>
      <c r="D41" s="302"/>
      <c r="E41" s="302"/>
      <c r="F41" s="302"/>
      <c r="G41" s="320"/>
      <c r="H41" s="319"/>
    </row>
    <row r="42" spans="1:8">
      <c r="A42" s="294" t="s">
        <v>616</v>
      </c>
      <c r="B42" s="94" t="s">
        <v>181</v>
      </c>
      <c r="C42" s="367" t="s">
        <v>82</v>
      </c>
      <c r="D42" s="12"/>
      <c r="E42" s="302"/>
      <c r="F42" s="302"/>
      <c r="G42" s="157">
        <f>+ROUND(+VLOOKUP(A42,Holding!A:R,18,0)/100000,2)</f>
        <v>1555.66</v>
      </c>
      <c r="H42" s="308">
        <f>+ROUND(G42/$G$49,4)</f>
        <v>0.17050000000000001</v>
      </c>
    </row>
    <row r="43" spans="1:8">
      <c r="B43" s="101"/>
      <c r="C43" s="302"/>
      <c r="D43" s="302"/>
      <c r="E43" s="102"/>
      <c r="F43" s="102"/>
      <c r="G43" s="303"/>
      <c r="H43" s="308"/>
    </row>
    <row r="44" spans="1:8">
      <c r="B44" s="101"/>
      <c r="C44" s="305" t="s">
        <v>84</v>
      </c>
      <c r="D44" s="305"/>
      <c r="E44" s="102"/>
      <c r="F44" s="321"/>
      <c r="G44" s="322">
        <f>+G42+G40+G26+G31</f>
        <v>9115.02</v>
      </c>
      <c r="H44" s="319">
        <f>+H42+H40+H26+H31</f>
        <v>0.999</v>
      </c>
    </row>
    <row r="45" spans="1:8">
      <c r="B45" s="101"/>
      <c r="C45" s="305"/>
      <c r="D45" s="305"/>
      <c r="E45" s="102"/>
      <c r="F45" s="321"/>
      <c r="G45" s="321"/>
      <c r="H45" s="323"/>
    </row>
    <row r="46" spans="1:8">
      <c r="B46" s="101"/>
      <c r="C46" s="305" t="s">
        <v>83</v>
      </c>
      <c r="D46" s="305"/>
      <c r="E46" s="102"/>
      <c r="F46" s="102"/>
      <c r="G46" s="303"/>
      <c r="H46" s="308"/>
    </row>
    <row r="47" spans="1:8">
      <c r="B47" s="101"/>
      <c r="C47" s="302" t="s">
        <v>503</v>
      </c>
      <c r="D47" s="302"/>
      <c r="E47" s="302"/>
      <c r="F47" s="302"/>
      <c r="G47" s="377">
        <f>G49-G44</f>
        <v>9.9200000000000728</v>
      </c>
      <c r="H47" s="364">
        <f>H49-H44</f>
        <v>1.0000000000000009E-3</v>
      </c>
    </row>
    <row r="48" spans="1:8">
      <c r="B48" s="207"/>
      <c r="C48" s="324"/>
      <c r="D48" s="324"/>
      <c r="E48" s="209"/>
      <c r="F48" s="209"/>
      <c r="G48" s="325"/>
      <c r="H48" s="326"/>
    </row>
    <row r="49" spans="1:9" ht="13.5" thickBot="1">
      <c r="A49" s="294" t="s">
        <v>409</v>
      </c>
      <c r="B49" s="365"/>
      <c r="C49" s="327" t="s">
        <v>14</v>
      </c>
      <c r="D49" s="327"/>
      <c r="E49" s="328"/>
      <c r="F49" s="328"/>
      <c r="G49" s="375">
        <f>+ROUND(+VLOOKUP(A49,Holding!A:R,18,0)/100000,2)</f>
        <v>9124.94</v>
      </c>
      <c r="H49" s="329">
        <v>1</v>
      </c>
    </row>
    <row r="50" spans="1:9" s="309" customFormat="1">
      <c r="B50" s="330"/>
      <c r="C50" s="294"/>
      <c r="D50" s="294"/>
      <c r="E50" s="294"/>
      <c r="F50" s="294"/>
      <c r="G50" s="294"/>
      <c r="H50" s="295"/>
      <c r="I50" s="309" t="s">
        <v>1053</v>
      </c>
    </row>
    <row r="51" spans="1:9">
      <c r="B51" s="330" t="s">
        <v>15</v>
      </c>
      <c r="C51" s="294"/>
      <c r="H51" s="295"/>
    </row>
    <row r="52" spans="1:9">
      <c r="B52" s="330" t="s">
        <v>16</v>
      </c>
      <c r="C52" s="294" t="str">
        <f>"Total Non performing Assets provided for and its percentage to NAV as on "&amp;TEXT(Index!C23,"mmmmmmmmmm dd, yyyy")&amp;" - NIL"</f>
        <v>Total Non performing Assets provided for and its percentage to NAV as on January 31, 2017 - NIL</v>
      </c>
      <c r="H52" s="295"/>
    </row>
    <row r="53" spans="1:9">
      <c r="B53" s="330" t="s">
        <v>17</v>
      </c>
      <c r="C53" s="294" t="s">
        <v>193</v>
      </c>
      <c r="H53" s="295"/>
    </row>
    <row r="54" spans="1:9">
      <c r="B54" s="330" t="s">
        <v>18</v>
      </c>
      <c r="C54" s="294" t="s">
        <v>19</v>
      </c>
      <c r="G54" s="331"/>
      <c r="H54" s="332"/>
    </row>
    <row r="55" spans="1:9" ht="28.5" customHeight="1">
      <c r="B55" s="330"/>
      <c r="C55" s="267" t="s">
        <v>171</v>
      </c>
      <c r="D55" s="356" t="str">
        <f>"As on "&amp;TEXT(Index!C25,"mmmmmmmmmm dd, yyyy")&amp;" (Rs.)"</f>
        <v>As on January 31, 2017 (Rs.)</v>
      </c>
      <c r="E55" s="331"/>
      <c r="F55" s="331"/>
      <c r="G55" s="331"/>
      <c r="H55" s="332"/>
    </row>
    <row r="56" spans="1:9">
      <c r="A56" s="294" t="s">
        <v>371</v>
      </c>
      <c r="B56" s="330"/>
      <c r="C56" s="333" t="s">
        <v>44</v>
      </c>
      <c r="D56" s="357">
        <f>+VLOOKUP(A56,Bloomberg!C:E,3,0)</f>
        <v>22.297799999999999</v>
      </c>
      <c r="E56" s="331"/>
      <c r="F56" s="331"/>
      <c r="G56" s="331"/>
      <c r="H56" s="332"/>
    </row>
    <row r="57" spans="1:9">
      <c r="A57" s="294" t="s">
        <v>372</v>
      </c>
      <c r="B57" s="330"/>
      <c r="C57" s="334" t="s">
        <v>422</v>
      </c>
      <c r="D57" s="357">
        <f>+VLOOKUP(A57,Bloomberg!C:E,3,0)</f>
        <v>10.014699999999999</v>
      </c>
      <c r="E57" s="331"/>
      <c r="F57" s="331"/>
      <c r="G57" s="331"/>
      <c r="H57" s="332"/>
    </row>
    <row r="58" spans="1:9">
      <c r="A58" s="294" t="s">
        <v>370</v>
      </c>
      <c r="B58" s="330"/>
      <c r="C58" s="333" t="s">
        <v>45</v>
      </c>
      <c r="D58" s="357">
        <f>+VLOOKUP(A58,Bloomberg!C:E,3,0)</f>
        <v>10.0044</v>
      </c>
      <c r="E58" s="331"/>
      <c r="F58" s="331"/>
      <c r="G58" s="331"/>
      <c r="H58" s="332"/>
    </row>
    <row r="59" spans="1:9">
      <c r="B59" s="330"/>
      <c r="C59" s="331"/>
      <c r="D59" s="358"/>
      <c r="E59" s="331"/>
      <c r="F59" s="331"/>
      <c r="G59" s="331"/>
      <c r="H59" s="332"/>
    </row>
    <row r="60" spans="1:9">
      <c r="B60" s="330" t="s">
        <v>23</v>
      </c>
      <c r="C60" s="331" t="str">
        <f>"Dividend declared during the period ended "&amp;TEXT(Index!C23,"mmmmmmmmmm dd, yyyy")</f>
        <v>Dividend declared during the period ended January 31, 2017</v>
      </c>
      <c r="D60" s="331"/>
      <c r="E60" s="331"/>
      <c r="F60" s="331"/>
      <c r="G60" s="331"/>
      <c r="H60" s="332"/>
    </row>
    <row r="61" spans="1:9">
      <c r="B61" s="330"/>
      <c r="C61" s="331" t="s">
        <v>423</v>
      </c>
      <c r="D61" s="331"/>
      <c r="E61" s="331"/>
      <c r="F61" s="331"/>
      <c r="G61" s="331"/>
      <c r="H61" s="332"/>
    </row>
    <row r="62" spans="1:9" ht="39" customHeight="1">
      <c r="B62" s="174"/>
      <c r="C62" s="267" t="s">
        <v>46</v>
      </c>
      <c r="D62" s="386" t="s">
        <v>85</v>
      </c>
      <c r="E62" s="453" t="s">
        <v>136</v>
      </c>
      <c r="F62" s="454"/>
      <c r="G62" s="280"/>
      <c r="H62" s="281"/>
    </row>
    <row r="63" spans="1:9" s="175" customFormat="1" ht="15.75" customHeight="1">
      <c r="B63" s="174"/>
      <c r="C63" s="387"/>
      <c r="D63" s="387"/>
      <c r="E63" s="388" t="s">
        <v>60</v>
      </c>
      <c r="F63" s="388" t="s">
        <v>61</v>
      </c>
      <c r="G63" s="280"/>
      <c r="H63" s="281"/>
    </row>
    <row r="64" spans="1:9">
      <c r="B64" s="330"/>
      <c r="C64" s="359">
        <v>42760</v>
      </c>
      <c r="D64" s="357">
        <v>10.0047</v>
      </c>
      <c r="E64" s="372">
        <v>3.53715E-2</v>
      </c>
      <c r="F64" s="372">
        <v>3.2504409999999997E-2</v>
      </c>
      <c r="G64" s="331"/>
      <c r="H64" s="332"/>
    </row>
    <row r="65" spans="2:8" ht="30.75" customHeight="1">
      <c r="B65" s="330"/>
      <c r="C65" s="455" t="s">
        <v>95</v>
      </c>
      <c r="D65" s="455"/>
      <c r="E65" s="455"/>
      <c r="F65" s="455"/>
      <c r="G65" s="455"/>
      <c r="H65" s="456"/>
    </row>
    <row r="66" spans="2:8" s="222" customFormat="1" ht="16.5" customHeight="1">
      <c r="B66" s="221" t="s">
        <v>24</v>
      </c>
      <c r="C66" s="282" t="str">
        <f>"Bonus declared during the period ended "&amp;TEXT(Index!C23,"mmmmmmmmmm dd, yyyy")&amp;" - NIL"</f>
        <v>Bonus declared during the period ended January 31, 2017 - NIL</v>
      </c>
      <c r="D66" s="283"/>
      <c r="E66" s="283"/>
      <c r="F66" s="283"/>
      <c r="G66" s="283"/>
      <c r="H66" s="284"/>
    </row>
    <row r="67" spans="2:8">
      <c r="B67" s="330" t="s">
        <v>25</v>
      </c>
      <c r="C67" s="331" t="str">
        <f>"Total outstanding exposure in derivative instruments as on "&amp;TEXT(Index!C23,"mmmmmmmmmm dd, yyyy")&amp;" - NIL"</f>
        <v>Total outstanding exposure in derivative instruments as on January 31, 2017 - NIL</v>
      </c>
      <c r="D67" s="331"/>
      <c r="E67" s="331"/>
      <c r="F67" s="331"/>
      <c r="G67" s="331"/>
      <c r="H67" s="332"/>
    </row>
    <row r="68" spans="2:8" ht="13.5" customHeight="1">
      <c r="B68" s="330" t="s">
        <v>26</v>
      </c>
      <c r="C68" s="331"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68" s="331"/>
      <c r="E68" s="331"/>
      <c r="F68" s="331"/>
      <c r="G68" s="331"/>
      <c r="H68" s="332"/>
    </row>
    <row r="69" spans="2:8" ht="12.75" customHeight="1">
      <c r="B69" s="330" t="s">
        <v>27</v>
      </c>
      <c r="C69" s="331" t="s">
        <v>191</v>
      </c>
      <c r="D69" s="331"/>
      <c r="E69" s="331"/>
      <c r="F69" s="331"/>
      <c r="G69" s="331"/>
      <c r="H69" s="332"/>
    </row>
    <row r="70" spans="2:8" ht="12.75" customHeight="1">
      <c r="B70" s="330" t="s">
        <v>37</v>
      </c>
      <c r="C70" s="358" t="s">
        <v>624</v>
      </c>
      <c r="D70" s="331"/>
      <c r="E70" s="331"/>
      <c r="F70" s="331"/>
      <c r="G70" s="331"/>
      <c r="H70" s="332"/>
    </row>
    <row r="71" spans="2:8">
      <c r="B71" s="330" t="s">
        <v>53</v>
      </c>
      <c r="C71" s="331" t="s">
        <v>192</v>
      </c>
      <c r="D71" s="331"/>
      <c r="E71" s="331"/>
      <c r="F71" s="331"/>
      <c r="G71" s="331"/>
      <c r="H71" s="332"/>
    </row>
    <row r="72" spans="2:8">
      <c r="B72" s="330" t="s">
        <v>54</v>
      </c>
      <c r="C72" s="331" t="s">
        <v>189</v>
      </c>
      <c r="D72" s="331"/>
      <c r="E72" s="331"/>
      <c r="F72" s="331"/>
      <c r="G72" s="331"/>
      <c r="H72" s="332"/>
    </row>
    <row r="73" spans="2:8">
      <c r="B73" s="330" t="s">
        <v>91</v>
      </c>
      <c r="C73" s="358" t="str">
        <f>"Total Brokerage Paid for Buying/ Selling of Investment for the month ended "&amp;TEXT(Index!C23,"mmmmmmmmmm dd, yyyy")&amp;" - NIL"</f>
        <v>Total Brokerage Paid for Buying/ Selling of Investment for the month ended January 31, 2017 - NIL</v>
      </c>
      <c r="D73" s="331"/>
      <c r="E73" s="331"/>
      <c r="F73" s="331"/>
      <c r="G73" s="331"/>
      <c r="H73" s="332"/>
    </row>
    <row r="74" spans="2:8">
      <c r="B74" s="330"/>
      <c r="C74" s="331"/>
      <c r="D74" s="331"/>
      <c r="E74" s="331"/>
      <c r="F74" s="331"/>
      <c r="G74" s="331"/>
      <c r="H74" s="332"/>
    </row>
    <row r="75" spans="2:8">
      <c r="B75" s="330" t="s">
        <v>52</v>
      </c>
      <c r="C75" s="294"/>
      <c r="H75" s="295"/>
    </row>
    <row r="76" spans="2:8" ht="13.5" thickBot="1">
      <c r="B76" s="335" t="s">
        <v>424</v>
      </c>
      <c r="C76" s="296"/>
      <c r="D76" s="296"/>
      <c r="E76" s="296"/>
      <c r="F76" s="296"/>
      <c r="G76" s="296"/>
      <c r="H76" s="297"/>
    </row>
  </sheetData>
  <sortState ref="C36:H41">
    <sortCondition descending="1" ref="H36:H41"/>
  </sortState>
  <mergeCells count="8">
    <mergeCell ref="E62:F62"/>
    <mergeCell ref="B5:H6"/>
    <mergeCell ref="C65:H65"/>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opLeftCell="B13" zoomScale="90" zoomScaleNormal="90" workbookViewId="0">
      <selection activeCell="I21" sqref="I21"/>
    </sheetView>
  </sheetViews>
  <sheetFormatPr defaultColWidth="9.140625" defaultRowHeight="12.75"/>
  <cols>
    <col min="1" max="1" width="11.4257812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8">
      <c r="B1" s="457" t="s">
        <v>0</v>
      </c>
      <c r="C1" s="458"/>
      <c r="D1" s="458"/>
      <c r="E1" s="458"/>
      <c r="F1" s="458"/>
      <c r="G1" s="458"/>
      <c r="H1" s="459"/>
    </row>
    <row r="2" spans="1:8">
      <c r="B2" s="89"/>
      <c r="H2" s="90"/>
    </row>
    <row r="3" spans="1:8">
      <c r="B3" s="460" t="s">
        <v>1</v>
      </c>
      <c r="C3" s="461"/>
      <c r="D3" s="461"/>
      <c r="E3" s="461"/>
      <c r="F3" s="461"/>
      <c r="G3" s="461"/>
      <c r="H3" s="462"/>
    </row>
    <row r="4" spans="1:8">
      <c r="B4" s="460" t="s">
        <v>2</v>
      </c>
      <c r="C4" s="461"/>
      <c r="D4" s="461"/>
      <c r="E4" s="461"/>
      <c r="F4" s="461"/>
      <c r="G4" s="461"/>
      <c r="H4" s="462"/>
    </row>
    <row r="5" spans="1:8" ht="15" customHeight="1">
      <c r="B5" s="447" t="s">
        <v>142</v>
      </c>
      <c r="C5" s="448"/>
      <c r="D5" s="448"/>
      <c r="E5" s="448"/>
      <c r="F5" s="448"/>
      <c r="G5" s="448"/>
      <c r="H5" s="449"/>
    </row>
    <row r="6" spans="1:8">
      <c r="B6" s="447"/>
      <c r="C6" s="448"/>
      <c r="D6" s="448"/>
      <c r="E6" s="448"/>
      <c r="F6" s="448"/>
      <c r="G6" s="448"/>
      <c r="H6" s="449"/>
    </row>
    <row r="7" spans="1:8">
      <c r="B7" s="89"/>
      <c r="H7" s="90"/>
    </row>
    <row r="8" spans="1:8">
      <c r="B8" s="463" t="s">
        <v>415</v>
      </c>
      <c r="C8" s="464"/>
      <c r="D8" s="464"/>
      <c r="E8" s="464"/>
      <c r="F8" s="464"/>
      <c r="G8" s="464"/>
      <c r="H8" s="465"/>
    </row>
    <row r="9" spans="1:8" ht="7.5" customHeight="1">
      <c r="B9" s="89"/>
      <c r="H9" s="90"/>
    </row>
    <row r="10" spans="1:8" ht="13.5" customHeight="1">
      <c r="B10" s="469" t="str">
        <f>"Monthly Portfolio Statement of the Quantum Dynamic Bond Fund for the period ended "&amp;TEXT(Index!C23,"mmmmmmmmmm dd, yyyy")</f>
        <v>Monthly Portfolio Statement of the Quantum Dynamic Bond Fund for the period ended January 31, 2017</v>
      </c>
      <c r="C10" s="470"/>
      <c r="D10" s="470"/>
      <c r="E10" s="470"/>
      <c r="F10" s="470"/>
      <c r="G10" s="470"/>
      <c r="H10" s="471"/>
    </row>
    <row r="11" spans="1:8" ht="13.5" thickBot="1">
      <c r="B11" s="91"/>
      <c r="C11" s="133"/>
      <c r="D11" s="92"/>
      <c r="E11" s="92"/>
      <c r="F11" s="92"/>
      <c r="G11" s="92"/>
      <c r="H11" s="93"/>
    </row>
    <row r="12" spans="1:8" ht="38.25">
      <c r="B12" s="261" t="s">
        <v>3</v>
      </c>
      <c r="C12" s="262" t="s">
        <v>4</v>
      </c>
      <c r="D12" s="263" t="s">
        <v>97</v>
      </c>
      <c r="E12" s="262" t="s">
        <v>42</v>
      </c>
      <c r="F12" s="262" t="s">
        <v>5</v>
      </c>
      <c r="G12" s="264" t="s">
        <v>147</v>
      </c>
      <c r="H12" s="265" t="s">
        <v>6</v>
      </c>
    </row>
    <row r="13" spans="1:8">
      <c r="B13" s="94"/>
      <c r="C13" s="95"/>
      <c r="D13" s="134"/>
      <c r="E13" s="95"/>
      <c r="F13" s="95"/>
      <c r="G13" s="96"/>
      <c r="H13" s="97"/>
    </row>
    <row r="14" spans="1:8">
      <c r="A14" s="88" t="s">
        <v>226</v>
      </c>
      <c r="B14" s="94"/>
      <c r="C14" s="98" t="s">
        <v>81</v>
      </c>
      <c r="D14" s="134"/>
      <c r="E14" s="95"/>
      <c r="F14" s="95"/>
      <c r="G14" s="96"/>
      <c r="H14" s="97"/>
    </row>
    <row r="15" spans="1:8">
      <c r="B15" s="94" t="s">
        <v>7</v>
      </c>
      <c r="C15" s="99" t="s">
        <v>8</v>
      </c>
      <c r="D15" s="134"/>
      <c r="E15" s="95"/>
      <c r="F15" s="103" t="s">
        <v>9</v>
      </c>
      <c r="G15" s="103" t="s">
        <v>9</v>
      </c>
      <c r="H15" s="198" t="s">
        <v>9</v>
      </c>
    </row>
    <row r="16" spans="1:8">
      <c r="B16" s="94"/>
      <c r="C16" s="99"/>
      <c r="D16" s="134"/>
      <c r="E16" s="95"/>
      <c r="F16" s="103"/>
      <c r="G16" s="103"/>
      <c r="H16" s="198"/>
    </row>
    <row r="17" spans="1:9">
      <c r="B17" s="94" t="s">
        <v>212</v>
      </c>
      <c r="C17" s="98" t="s">
        <v>237</v>
      </c>
      <c r="D17" s="134"/>
      <c r="E17" s="95"/>
      <c r="F17" s="103"/>
      <c r="G17" s="103"/>
      <c r="H17" s="198"/>
    </row>
    <row r="18" spans="1:9">
      <c r="B18" s="94"/>
      <c r="C18" s="98"/>
      <c r="D18" s="134"/>
      <c r="E18" s="95"/>
      <c r="F18" s="103"/>
      <c r="G18" s="103"/>
      <c r="H18" s="198"/>
    </row>
    <row r="19" spans="1:9">
      <c r="A19" s="88" t="str">
        <f>$A$14&amp;D19</f>
        <v>QDBFIN0020160019</v>
      </c>
      <c r="B19" s="101">
        <f>+B18+1</f>
        <v>1</v>
      </c>
      <c r="C19" s="196" t="str">
        <f>+VLOOKUP(A19,Holding!A:F,6,0)</f>
        <v>7.61% GOI(MD 09/05/2030)</v>
      </c>
      <c r="D19" s="199" t="s">
        <v>583</v>
      </c>
      <c r="E19" s="154" t="s">
        <v>172</v>
      </c>
      <c r="F19" s="270">
        <f>+VLOOKUP(A19,Holding!A:I,9,0)</f>
        <v>1500000</v>
      </c>
      <c r="G19" s="157">
        <f>+ROUND(+VLOOKUP(A19,Holding!A:R,18,0)/100000,2)</f>
        <v>1615.46</v>
      </c>
      <c r="H19" s="104">
        <f>+ROUND(G19/$G$43,4)</f>
        <v>0.28349999999999997</v>
      </c>
    </row>
    <row r="20" spans="1:9">
      <c r="A20" s="88" t="str">
        <f>$A$14&amp;D20</f>
        <v>QDBFIN0020150051</v>
      </c>
      <c r="B20" s="101">
        <v>2</v>
      </c>
      <c r="C20" s="196" t="str">
        <f>+VLOOKUP(A20,Holding!A:F,6,0)</f>
        <v>7.73% GOI (MD 19/12/2034)</v>
      </c>
      <c r="D20" s="199" t="s">
        <v>609</v>
      </c>
      <c r="E20" s="154" t="s">
        <v>172</v>
      </c>
      <c r="F20" s="270">
        <f>+VLOOKUP(A20,Holding!A:I,9,0)</f>
        <v>1000000</v>
      </c>
      <c r="G20" s="157">
        <f>+ROUND(+VLOOKUP(A20,Holding!A:R,18,0)/100000,2)</f>
        <v>1067</v>
      </c>
      <c r="H20" s="104">
        <f>+ROUND(G20/$G$43,4)</f>
        <v>0.18720000000000001</v>
      </c>
    </row>
    <row r="21" spans="1:9">
      <c r="A21" s="88" t="str">
        <f>$A$14&amp;D21</f>
        <v>QDBFIN0020150093</v>
      </c>
      <c r="B21" s="101">
        <f>+B20+1</f>
        <v>3</v>
      </c>
      <c r="C21" s="196" t="str">
        <f>+VLOOKUP(A21,Holding!A:F,6,0)</f>
        <v>7.59% GOI(MD 11/01/2026)</v>
      </c>
      <c r="D21" s="199" t="s">
        <v>566</v>
      </c>
      <c r="E21" s="154" t="s">
        <v>172</v>
      </c>
      <c r="F21" s="270">
        <f>+VLOOKUP(A21,Holding!A:I,9,0)</f>
        <v>500000</v>
      </c>
      <c r="G21" s="157">
        <f>+ROUND(+VLOOKUP(A21,Holding!A:R,18,0)/100000,2)</f>
        <v>535.1</v>
      </c>
      <c r="H21" s="104">
        <f>+ROUND(G21/$G$43,4)</f>
        <v>9.3899999999999997E-2</v>
      </c>
      <c r="I21" s="88" t="s">
        <v>1053</v>
      </c>
    </row>
    <row r="22" spans="1:9">
      <c r="A22" s="88" t="str">
        <f>$A$14&amp;D22</f>
        <v>QDBFIN0020150036</v>
      </c>
      <c r="B22" s="101">
        <v>1</v>
      </c>
      <c r="C22" s="196" t="str">
        <f>+VLOOKUP(A22,Holding!A:F,6,0)</f>
        <v>7.72% GOI (MD 25/05/2025)</v>
      </c>
      <c r="D22" s="199" t="s">
        <v>573</v>
      </c>
      <c r="E22" s="154" t="s">
        <v>172</v>
      </c>
      <c r="F22" s="270">
        <f>+VLOOKUP(A22,Holding!A:I,9,0)</f>
        <v>500000</v>
      </c>
      <c r="G22" s="157">
        <f>+ROUND(+VLOOKUP(A22,Holding!A:R,18,0)/100000,2)</f>
        <v>531.45000000000005</v>
      </c>
      <c r="H22" s="104">
        <f>+ROUND(G22/$G$43,4)</f>
        <v>9.3299999999999994E-2</v>
      </c>
    </row>
    <row r="23" spans="1:9">
      <c r="B23" s="101"/>
      <c r="C23" s="95"/>
      <c r="D23" s="199"/>
      <c r="E23" s="154"/>
      <c r="F23" s="270"/>
      <c r="G23" s="157"/>
      <c r="H23" s="104"/>
    </row>
    <row r="24" spans="1:9">
      <c r="B24" s="94" t="s">
        <v>10</v>
      </c>
      <c r="C24" s="99" t="s">
        <v>11</v>
      </c>
      <c r="D24" s="134"/>
      <c r="E24" s="240"/>
      <c r="F24" s="103" t="s">
        <v>9</v>
      </c>
      <c r="G24" s="103" t="s">
        <v>9</v>
      </c>
      <c r="H24" s="198" t="s">
        <v>9</v>
      </c>
    </row>
    <row r="25" spans="1:9">
      <c r="B25" s="94" t="s">
        <v>12</v>
      </c>
      <c r="C25" s="98" t="s">
        <v>13</v>
      </c>
      <c r="D25" s="134"/>
      <c r="E25" s="241"/>
      <c r="F25" s="103" t="s">
        <v>9</v>
      </c>
      <c r="G25" s="103" t="s">
        <v>9</v>
      </c>
      <c r="H25" s="198" t="s">
        <v>9</v>
      </c>
    </row>
    <row r="26" spans="1:9">
      <c r="B26" s="101"/>
      <c r="C26" s="95"/>
      <c r="D26" s="135"/>
      <c r="E26" s="241"/>
      <c r="F26" s="103"/>
      <c r="G26" s="96"/>
      <c r="H26" s="104"/>
    </row>
    <row r="27" spans="1:9">
      <c r="B27" s="94"/>
      <c r="C27" s="98" t="s">
        <v>86</v>
      </c>
      <c r="D27" s="134"/>
      <c r="E27" s="240"/>
      <c r="F27" s="100"/>
      <c r="G27" s="100">
        <f>SUM(G15:G25)</f>
        <v>3749.01</v>
      </c>
      <c r="H27" s="191">
        <f>SUM(H15:H25)</f>
        <v>0.65789999999999993</v>
      </c>
    </row>
    <row r="28" spans="1:9">
      <c r="B28" s="94"/>
      <c r="C28" s="95"/>
      <c r="D28" s="134"/>
      <c r="E28" s="240"/>
      <c r="F28" s="95"/>
      <c r="G28" s="96"/>
      <c r="H28" s="104"/>
    </row>
    <row r="29" spans="1:9" s="106" customFormat="1">
      <c r="B29" s="94"/>
      <c r="C29" s="21" t="s">
        <v>55</v>
      </c>
      <c r="D29" s="134"/>
      <c r="E29" s="240"/>
      <c r="F29" s="95"/>
      <c r="G29" s="96"/>
      <c r="H29" s="104"/>
    </row>
    <row r="30" spans="1:9" s="106" customFormat="1">
      <c r="B30" s="94"/>
      <c r="C30" s="21"/>
      <c r="D30" s="134"/>
      <c r="E30" s="240"/>
      <c r="F30" s="95"/>
      <c r="G30" s="96"/>
      <c r="H30" s="104"/>
    </row>
    <row r="31" spans="1:9">
      <c r="B31" s="94" t="s">
        <v>7</v>
      </c>
      <c r="C31" s="155" t="s">
        <v>178</v>
      </c>
      <c r="D31" s="95"/>
      <c r="E31" s="152"/>
      <c r="F31" s="113"/>
      <c r="G31" s="153"/>
      <c r="H31" s="104"/>
    </row>
    <row r="32" spans="1:9">
      <c r="A32" s="88" t="str">
        <f>$A$14&amp;D32</f>
        <v>QDBFIN002016Y130</v>
      </c>
      <c r="B32" s="184">
        <v>1</v>
      </c>
      <c r="C32" s="196" t="str">
        <f>+VLOOKUP(A32,Holding!A:F,6,0)&amp;"**"</f>
        <v>182 Days Tbill (MD 23/03/2017)**</v>
      </c>
      <c r="D32" s="199" t="s">
        <v>612</v>
      </c>
      <c r="E32" s="154" t="s">
        <v>172</v>
      </c>
      <c r="F32" s="270">
        <f>+VLOOKUP(A32,Holding!A:I,9,0)</f>
        <v>51600</v>
      </c>
      <c r="G32" s="157">
        <f>+ROUND(+VLOOKUP(A32,Holding!A:R,18,0)/100000,2)</f>
        <v>51.17</v>
      </c>
      <c r="H32" s="104">
        <f>+ROUND(G32/$G$43,4)</f>
        <v>8.9999999999999993E-3</v>
      </c>
    </row>
    <row r="33" spans="1:8">
      <c r="B33" s="184"/>
      <c r="C33" s="95"/>
      <c r="D33" s="95"/>
      <c r="E33" s="154"/>
      <c r="F33" s="113"/>
      <c r="G33" s="186"/>
      <c r="H33" s="104"/>
    </row>
    <row r="34" spans="1:8">
      <c r="B34" s="190"/>
      <c r="C34" s="164" t="s">
        <v>202</v>
      </c>
      <c r="D34" s="95"/>
      <c r="E34" s="95"/>
      <c r="F34" s="95"/>
      <c r="G34" s="185">
        <f>SUM(G32:G33)</f>
        <v>51.17</v>
      </c>
      <c r="H34" s="191">
        <f>SUM(H32:H33)</f>
        <v>8.9999999999999993E-3</v>
      </c>
    </row>
    <row r="35" spans="1:8">
      <c r="B35" s="190"/>
      <c r="C35" s="164"/>
      <c r="D35" s="95"/>
      <c r="E35" s="95"/>
      <c r="F35" s="95"/>
      <c r="G35" s="185"/>
      <c r="H35" s="191"/>
    </row>
    <row r="36" spans="1:8">
      <c r="A36" s="269" t="s">
        <v>615</v>
      </c>
      <c r="B36" s="94" t="s">
        <v>10</v>
      </c>
      <c r="C36" s="10" t="s">
        <v>82</v>
      </c>
      <c r="D36" s="9"/>
      <c r="E36" s="95"/>
      <c r="F36" s="95"/>
      <c r="G36" s="157">
        <f>+ROUND(+VLOOKUP(A36,Holding!A:R,18,0)/100000,2)</f>
        <v>1889.92</v>
      </c>
      <c r="H36" s="167">
        <f>+ROUND(G36/$G$43,4)</f>
        <v>0.33169999999999999</v>
      </c>
    </row>
    <row r="37" spans="1:8">
      <c r="B37" s="101"/>
      <c r="C37" s="95"/>
      <c r="D37" s="95"/>
      <c r="E37" s="102"/>
      <c r="F37" s="102"/>
      <c r="G37" s="96"/>
      <c r="H37" s="104"/>
    </row>
    <row r="38" spans="1:8">
      <c r="B38" s="101"/>
      <c r="C38" s="98" t="s">
        <v>84</v>
      </c>
      <c r="D38" s="98"/>
      <c r="E38" s="102"/>
      <c r="F38" s="105"/>
      <c r="G38" s="105">
        <f>+G34+G36</f>
        <v>1941.0900000000001</v>
      </c>
      <c r="H38" s="191">
        <f>+H34+H36</f>
        <v>0.3407</v>
      </c>
    </row>
    <row r="39" spans="1:8">
      <c r="B39" s="101"/>
      <c r="C39" s="98"/>
      <c r="D39" s="98"/>
      <c r="E39" s="102"/>
      <c r="F39" s="105"/>
      <c r="G39" s="105"/>
      <c r="H39" s="191"/>
    </row>
    <row r="40" spans="1:8">
      <c r="B40" s="101"/>
      <c r="C40" s="98" t="s">
        <v>83</v>
      </c>
      <c r="D40" s="98"/>
      <c r="E40" s="102"/>
      <c r="F40" s="102"/>
      <c r="G40" s="96"/>
      <c r="H40" s="104"/>
    </row>
    <row r="41" spans="1:8">
      <c r="B41" s="101"/>
      <c r="C41" s="95" t="s">
        <v>43</v>
      </c>
      <c r="D41" s="95"/>
      <c r="E41" s="95"/>
      <c r="F41" s="95"/>
      <c r="G41" s="373">
        <f>+G43-G38-G27</f>
        <v>8.1999999999998181</v>
      </c>
      <c r="H41" s="374">
        <f>ROUND(+H43-H38-H27,4)</f>
        <v>1.4E-3</v>
      </c>
    </row>
    <row r="42" spans="1:8">
      <c r="B42" s="207"/>
      <c r="C42" s="208"/>
      <c r="D42" s="208"/>
      <c r="E42" s="209"/>
      <c r="F42" s="209"/>
      <c r="G42" s="210"/>
      <c r="H42" s="211"/>
    </row>
    <row r="43" spans="1:8" ht="13.5" thickBot="1">
      <c r="A43" s="88" t="s">
        <v>410</v>
      </c>
      <c r="B43" s="365"/>
      <c r="C43" s="212" t="s">
        <v>14</v>
      </c>
      <c r="D43" s="212"/>
      <c r="E43" s="213"/>
      <c r="F43" s="213"/>
      <c r="G43" s="375">
        <f>+ROUND(+VLOOKUP(A43,Holding!A:R,18,0)/100000,2)</f>
        <v>5698.3</v>
      </c>
      <c r="H43" s="214">
        <v>1</v>
      </c>
    </row>
    <row r="44" spans="1:8" s="106" customFormat="1">
      <c r="B44" s="107"/>
      <c r="C44" s="88"/>
      <c r="D44" s="88"/>
      <c r="E44" s="88"/>
      <c r="F44" s="88"/>
      <c r="G44" s="88"/>
      <c r="H44" s="90"/>
    </row>
    <row r="45" spans="1:8">
      <c r="B45" s="107" t="s">
        <v>15</v>
      </c>
      <c r="C45" s="88"/>
      <c r="H45" s="90"/>
    </row>
    <row r="46" spans="1:8">
      <c r="B46" s="107" t="s">
        <v>16</v>
      </c>
      <c r="C46" s="88" t="str">
        <f>"Total Non performing Assets provided for and its percentage to NAV as on "&amp;TEXT(Index!C23,"mmmmmmmmmm dd, yyyy")&amp;" - NIL"</f>
        <v>Total Non performing Assets provided for and its percentage to NAV as on January 31, 2017 - NIL</v>
      </c>
      <c r="H46" s="90"/>
    </row>
    <row r="47" spans="1:8">
      <c r="B47" s="107" t="s">
        <v>17</v>
      </c>
      <c r="C47" s="88" t="s">
        <v>193</v>
      </c>
      <c r="H47" s="90"/>
    </row>
    <row r="48" spans="1:8">
      <c r="B48" s="107" t="s">
        <v>18</v>
      </c>
      <c r="C48" s="88" t="s">
        <v>19</v>
      </c>
      <c r="G48" s="150"/>
      <c r="H48" s="151"/>
    </row>
    <row r="49" spans="1:8" ht="25.5">
      <c r="B49" s="107"/>
      <c r="C49" s="177" t="s">
        <v>171</v>
      </c>
      <c r="D49" s="277" t="str">
        <f>"As on "&amp;TEXT(Index!C24,"mmmmmmmmmm dd, yyyy")&amp;" (Rs.)"</f>
        <v>As on January 31, 2017 (Rs.)</v>
      </c>
      <c r="G49" s="150"/>
      <c r="H49" s="151"/>
    </row>
    <row r="50" spans="1:8">
      <c r="A50" s="88" t="s">
        <v>367</v>
      </c>
      <c r="B50" s="107"/>
      <c r="C50" s="353" t="s">
        <v>44</v>
      </c>
      <c r="D50" s="347">
        <f>+VLOOKUP(A50,Bloomberg!C:E,3,0)</f>
        <v>12.3817</v>
      </c>
      <c r="E50" s="150"/>
      <c r="F50" s="150"/>
      <c r="G50" s="150"/>
      <c r="H50" s="151"/>
    </row>
    <row r="51" spans="1:8">
      <c r="A51" s="88" t="s">
        <v>368</v>
      </c>
      <c r="B51" s="107"/>
      <c r="C51" s="354" t="s">
        <v>227</v>
      </c>
      <c r="D51" s="347">
        <f>+VLOOKUP(A51,Bloomberg!C:E,3,0)</f>
        <v>10.172000000000001</v>
      </c>
      <c r="E51" s="150"/>
      <c r="F51" s="150"/>
      <c r="G51" s="150"/>
      <c r="H51" s="151"/>
    </row>
    <row r="52" spans="1:8">
      <c r="B52" s="107"/>
      <c r="C52" s="150"/>
      <c r="D52" s="150"/>
      <c r="E52" s="150"/>
      <c r="F52" s="150"/>
      <c r="G52" s="150"/>
      <c r="H52" s="151"/>
    </row>
    <row r="53" spans="1:8">
      <c r="B53" s="107" t="s">
        <v>23</v>
      </c>
      <c r="C53" s="150" t="str">
        <f>"Dividend declared during the period ended "&amp;TEXT(Index!C23,"mmmmmmmmmm dd, yyyy")</f>
        <v>Dividend declared during the period ended January 31, 2017</v>
      </c>
      <c r="D53" s="150"/>
      <c r="E53" s="150"/>
      <c r="F53" s="150"/>
      <c r="G53" s="150"/>
      <c r="H53" s="151"/>
    </row>
    <row r="54" spans="1:8">
      <c r="B54" s="107"/>
      <c r="C54" s="150" t="s">
        <v>228</v>
      </c>
      <c r="D54" s="150"/>
      <c r="E54" s="150"/>
      <c r="F54" s="150"/>
      <c r="G54" s="150"/>
      <c r="H54" s="151"/>
    </row>
    <row r="55" spans="1:8" ht="25.5">
      <c r="B55" s="174"/>
      <c r="C55" s="267" t="s">
        <v>46</v>
      </c>
      <c r="D55" s="386" t="s">
        <v>85</v>
      </c>
      <c r="E55" s="453" t="s">
        <v>136</v>
      </c>
      <c r="F55" s="454"/>
      <c r="G55" s="150"/>
      <c r="H55" s="151"/>
    </row>
    <row r="56" spans="1:8" s="175" customFormat="1" ht="15.75" customHeight="1">
      <c r="B56" s="174"/>
      <c r="C56" s="387"/>
      <c r="D56" s="387"/>
      <c r="E56" s="388" t="s">
        <v>60</v>
      </c>
      <c r="F56" s="388" t="s">
        <v>61</v>
      </c>
      <c r="G56" s="150"/>
      <c r="H56" s="151"/>
    </row>
    <row r="57" spans="1:8">
      <c r="B57" s="107"/>
      <c r="C57" s="359">
        <v>42760</v>
      </c>
      <c r="D57" s="357">
        <v>10.162699999999999</v>
      </c>
      <c r="E57" s="372">
        <v>9.0665079999999995E-2</v>
      </c>
      <c r="F57" s="372">
        <v>8.3316070000000006E-2</v>
      </c>
      <c r="G57" s="150"/>
      <c r="H57" s="151"/>
    </row>
    <row r="58" spans="1:8" ht="28.5" customHeight="1">
      <c r="B58" s="107"/>
      <c r="C58" s="455" t="s">
        <v>95</v>
      </c>
      <c r="D58" s="455"/>
      <c r="E58" s="455"/>
      <c r="F58" s="455"/>
      <c r="G58" s="455"/>
      <c r="H58" s="456"/>
    </row>
    <row r="59" spans="1:8" s="222" customFormat="1" ht="16.5" customHeight="1">
      <c r="B59" s="221" t="s">
        <v>24</v>
      </c>
      <c r="C59" s="282" t="str">
        <f>"Bonus declared during the period ended "&amp;TEXT(Index!C23,"mmmmmmmmmm dd, yyyy")&amp;" - NIL"</f>
        <v>Bonus declared during the period ended January 31, 2017 - NIL</v>
      </c>
      <c r="D59" s="283"/>
      <c r="E59" s="283"/>
      <c r="F59" s="283"/>
      <c r="G59" s="283"/>
      <c r="H59" s="284"/>
    </row>
    <row r="60" spans="1:8">
      <c r="B60" s="107" t="s">
        <v>25</v>
      </c>
      <c r="C60" s="150" t="str">
        <f>"Total outstanding exposure in derivative instruments as on "&amp;TEXT(Index!C23,"mmmmmmmmmm dd, yyyy")&amp;" - NIL"</f>
        <v>Total outstanding exposure in derivative instruments as on January 31, 2017 - NIL</v>
      </c>
      <c r="D60" s="150"/>
      <c r="E60" s="150"/>
      <c r="F60" s="150"/>
      <c r="G60" s="150"/>
      <c r="H60" s="151"/>
    </row>
    <row r="61" spans="1:8" ht="13.5" customHeight="1">
      <c r="B61" s="107" t="s">
        <v>26</v>
      </c>
      <c r="C61" s="150"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61" s="150"/>
      <c r="E61" s="150"/>
      <c r="F61" s="150"/>
      <c r="G61" s="150"/>
      <c r="H61" s="151"/>
    </row>
    <row r="62" spans="1:8" ht="12.75" customHeight="1">
      <c r="B62" s="107" t="s">
        <v>27</v>
      </c>
      <c r="C62" s="150" t="s">
        <v>191</v>
      </c>
      <c r="D62" s="150"/>
      <c r="E62" s="150"/>
      <c r="F62" s="150"/>
      <c r="G62" s="150"/>
      <c r="H62" s="151"/>
    </row>
    <row r="63" spans="1:8" ht="12.75" customHeight="1">
      <c r="B63" s="107" t="s">
        <v>37</v>
      </c>
      <c r="C63" s="361" t="s">
        <v>625</v>
      </c>
      <c r="D63" s="150"/>
      <c r="E63" s="150"/>
      <c r="F63" s="150"/>
      <c r="G63" s="150"/>
      <c r="H63" s="151"/>
    </row>
    <row r="64" spans="1:8">
      <c r="B64" s="107" t="s">
        <v>53</v>
      </c>
      <c r="C64" s="150" t="s">
        <v>192</v>
      </c>
      <c r="D64" s="150"/>
      <c r="E64" s="150"/>
      <c r="F64" s="150"/>
      <c r="G64" s="150"/>
      <c r="H64" s="151"/>
    </row>
    <row r="65" spans="2:8">
      <c r="B65" s="107" t="s">
        <v>54</v>
      </c>
      <c r="C65" s="150" t="s">
        <v>189</v>
      </c>
      <c r="D65" s="150"/>
      <c r="E65" s="150"/>
      <c r="F65" s="150"/>
      <c r="G65" s="150"/>
      <c r="H65" s="151"/>
    </row>
    <row r="66" spans="2:8">
      <c r="B66" s="107" t="s">
        <v>91</v>
      </c>
      <c r="C66" s="361" t="str">
        <f>"Total Brokerage Paid for Buying/ Selling of Investment for the month ended "&amp;TEXT(Index!C23,"mmmmmmmmmm dd, yyyy")&amp;" - NIL."</f>
        <v>Total Brokerage Paid for Buying/ Selling of Investment for the month ended January 31, 2017 - NIL.</v>
      </c>
      <c r="D66" s="150"/>
      <c r="E66" s="150"/>
      <c r="F66" s="150"/>
      <c r="G66" s="150"/>
      <c r="H66" s="151"/>
    </row>
    <row r="67" spans="2:8">
      <c r="B67" s="107"/>
      <c r="C67" s="150"/>
      <c r="D67" s="150"/>
      <c r="E67" s="150"/>
      <c r="F67" s="150"/>
      <c r="G67" s="150"/>
      <c r="H67" s="151"/>
    </row>
    <row r="68" spans="2:8">
      <c r="B68" s="107" t="s">
        <v>52</v>
      </c>
      <c r="C68" s="88"/>
      <c r="H68" s="90"/>
    </row>
    <row r="69" spans="2:8" ht="13.5" thickBot="1">
      <c r="B69" s="136" t="s">
        <v>424</v>
      </c>
      <c r="C69" s="92"/>
      <c r="D69" s="92"/>
      <c r="E69" s="92"/>
      <c r="F69" s="92"/>
      <c r="G69" s="92"/>
      <c r="H69" s="93"/>
    </row>
  </sheetData>
  <sortState ref="C19:H21">
    <sortCondition descending="1" ref="H19:H21"/>
  </sortState>
  <mergeCells count="8">
    <mergeCell ref="E55:F55"/>
    <mergeCell ref="C58:H58"/>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opLeftCell="B1" zoomScale="90" zoomScaleNormal="90" workbookViewId="0">
      <selection activeCell="G1" sqref="G1"/>
    </sheetView>
  </sheetViews>
  <sheetFormatPr defaultColWidth="9.140625" defaultRowHeight="12.75"/>
  <cols>
    <col min="1" max="1" width="17.2851562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7">
      <c r="B1" s="441" t="s">
        <v>0</v>
      </c>
      <c r="C1" s="442"/>
      <c r="D1" s="442"/>
      <c r="E1" s="442"/>
      <c r="F1" s="443"/>
      <c r="G1" s="2" t="s">
        <v>1053</v>
      </c>
    </row>
    <row r="2" spans="1:7">
      <c r="B2" s="3"/>
      <c r="C2" s="4"/>
      <c r="D2" s="4"/>
      <c r="E2" s="4"/>
      <c r="F2" s="41"/>
    </row>
    <row r="3" spans="1:7" ht="14.25" customHeight="1">
      <c r="B3" s="444" t="s">
        <v>1</v>
      </c>
      <c r="C3" s="445"/>
      <c r="D3" s="445"/>
      <c r="E3" s="445"/>
      <c r="F3" s="446"/>
    </row>
    <row r="4" spans="1:7" ht="15" customHeight="1">
      <c r="B4" s="444" t="s">
        <v>2</v>
      </c>
      <c r="C4" s="445"/>
      <c r="D4" s="445"/>
      <c r="E4" s="445"/>
      <c r="F4" s="446"/>
    </row>
    <row r="5" spans="1:7" ht="15" customHeight="1">
      <c r="B5" s="447" t="s">
        <v>183</v>
      </c>
      <c r="C5" s="448"/>
      <c r="D5" s="448"/>
      <c r="E5" s="448"/>
      <c r="F5" s="449"/>
    </row>
    <row r="6" spans="1:7" ht="15" customHeight="1">
      <c r="B6" s="447"/>
      <c r="C6" s="448"/>
      <c r="D6" s="448"/>
      <c r="E6" s="448"/>
      <c r="F6" s="449"/>
    </row>
    <row r="7" spans="1:7">
      <c r="B7" s="3"/>
      <c r="C7" s="4"/>
      <c r="D7" s="4"/>
      <c r="E7" s="4"/>
      <c r="F7" s="41"/>
    </row>
    <row r="8" spans="1:7" ht="12.75" customHeight="1">
      <c r="B8" s="444" t="s">
        <v>571</v>
      </c>
      <c r="C8" s="445"/>
      <c r="D8" s="445"/>
      <c r="E8" s="445"/>
      <c r="F8" s="446"/>
    </row>
    <row r="9" spans="1:7">
      <c r="B9" s="3"/>
      <c r="C9" s="42"/>
      <c r="D9" s="42"/>
      <c r="E9" s="4"/>
      <c r="F9" s="41"/>
    </row>
    <row r="10" spans="1:7" ht="14.25" customHeight="1">
      <c r="B10" s="475" t="str">
        <f>"Monthly Portfolio Statement of the Quantum Gold Fund for the period ended "&amp;TEXT(Index!C23,"mmmmmmmmmm dd, yyyy")</f>
        <v>Monthly Portfolio Statement of the Quantum Gold Fund for the period ended January 31, 2017</v>
      </c>
      <c r="C10" s="476"/>
      <c r="D10" s="476"/>
      <c r="E10" s="476"/>
      <c r="F10" s="477"/>
    </row>
    <row r="11" spans="1:7" ht="12" customHeight="1">
      <c r="B11" s="3"/>
      <c r="C11" s="42"/>
      <c r="D11" s="42"/>
      <c r="E11" s="4"/>
      <c r="F11" s="43"/>
    </row>
    <row r="12" spans="1:7" ht="25.5">
      <c r="B12" s="260" t="s">
        <v>30</v>
      </c>
      <c r="C12" s="44" t="s">
        <v>87</v>
      </c>
      <c r="D12" s="44" t="s">
        <v>5</v>
      </c>
      <c r="E12" s="7" t="s">
        <v>147</v>
      </c>
      <c r="F12" s="45" t="s">
        <v>6</v>
      </c>
    </row>
    <row r="13" spans="1:7">
      <c r="B13" s="46"/>
      <c r="C13" s="47"/>
      <c r="D13" s="47"/>
      <c r="E13" s="47"/>
      <c r="F13" s="48"/>
    </row>
    <row r="14" spans="1:7">
      <c r="B14" s="46"/>
      <c r="C14" s="49" t="s">
        <v>31</v>
      </c>
      <c r="D14" s="49"/>
      <c r="E14" s="49"/>
      <c r="F14" s="50"/>
    </row>
    <row r="15" spans="1:7">
      <c r="A15" s="2" t="s">
        <v>348</v>
      </c>
      <c r="B15" s="230">
        <v>1</v>
      </c>
      <c r="C15" s="10" t="s">
        <v>578</v>
      </c>
      <c r="D15" s="169">
        <v>202</v>
      </c>
      <c r="E15" s="157">
        <v>5898.02</v>
      </c>
      <c r="F15" s="16">
        <f>+ROUND(E15/$E$34,4)</f>
        <v>1.0021</v>
      </c>
    </row>
    <row r="16" spans="1:7">
      <c r="B16" s="230"/>
      <c r="C16" s="10"/>
      <c r="D16" s="169"/>
      <c r="E16" s="157"/>
      <c r="F16" s="16"/>
    </row>
    <row r="17" spans="1:6" ht="12" customHeight="1">
      <c r="B17" s="46"/>
      <c r="C17" s="10"/>
      <c r="D17" s="14"/>
      <c r="E17" s="15"/>
      <c r="F17" s="16"/>
    </row>
    <row r="18" spans="1:6" s="24" customFormat="1">
      <c r="B18" s="52"/>
      <c r="C18" s="21" t="s">
        <v>50</v>
      </c>
      <c r="D18" s="111"/>
      <c r="E18" s="53">
        <f>SUM(E15:E17)</f>
        <v>5898.02</v>
      </c>
      <c r="F18" s="59">
        <f>SUM(F15:F16)</f>
        <v>1.0021</v>
      </c>
    </row>
    <row r="19" spans="1:6" s="24" customFormat="1">
      <c r="B19" s="52"/>
      <c r="C19" s="21"/>
      <c r="D19" s="21"/>
      <c r="E19" s="54"/>
      <c r="F19" s="55"/>
    </row>
    <row r="20" spans="1:6" s="24" customFormat="1">
      <c r="B20" s="52"/>
      <c r="C20" s="21" t="s">
        <v>56</v>
      </c>
      <c r="D20" s="21"/>
      <c r="E20" s="54"/>
      <c r="F20" s="55"/>
    </row>
    <row r="21" spans="1:6" s="24" customFormat="1">
      <c r="B21" s="52"/>
      <c r="C21" s="21"/>
      <c r="D21" s="14"/>
      <c r="E21" s="15"/>
      <c r="F21" s="51"/>
    </row>
    <row r="22" spans="1:6" s="24" customFormat="1">
      <c r="B22" s="52" t="s">
        <v>32</v>
      </c>
      <c r="C22" s="21" t="s">
        <v>8</v>
      </c>
      <c r="D22" s="200" t="s">
        <v>9</v>
      </c>
      <c r="E22" s="200" t="s">
        <v>9</v>
      </c>
      <c r="F22" s="201" t="s">
        <v>9</v>
      </c>
    </row>
    <row r="23" spans="1:6" s="24" customFormat="1">
      <c r="B23" s="52" t="s">
        <v>33</v>
      </c>
      <c r="C23" s="21" t="s">
        <v>11</v>
      </c>
      <c r="D23" s="200" t="s">
        <v>9</v>
      </c>
      <c r="E23" s="200" t="s">
        <v>9</v>
      </c>
      <c r="F23" s="201" t="s">
        <v>9</v>
      </c>
    </row>
    <row r="24" spans="1:6" s="24" customFormat="1">
      <c r="B24" s="52" t="s">
        <v>34</v>
      </c>
      <c r="C24" s="9" t="s">
        <v>13</v>
      </c>
      <c r="D24" s="200" t="s">
        <v>9</v>
      </c>
      <c r="E24" s="200" t="s">
        <v>9</v>
      </c>
      <c r="F24" s="201" t="s">
        <v>9</v>
      </c>
    </row>
    <row r="25" spans="1:6" s="24" customFormat="1">
      <c r="B25" s="52"/>
      <c r="C25" s="21" t="s">
        <v>80</v>
      </c>
      <c r="D25" s="57"/>
      <c r="E25" s="57" t="s">
        <v>9</v>
      </c>
      <c r="F25" s="58" t="s">
        <v>9</v>
      </c>
    </row>
    <row r="26" spans="1:6" s="24" customFormat="1">
      <c r="B26" s="52"/>
      <c r="C26" s="21"/>
      <c r="D26" s="21"/>
      <c r="E26" s="54"/>
      <c r="F26" s="55"/>
    </row>
    <row r="27" spans="1:6" s="24" customFormat="1">
      <c r="B27" s="46"/>
      <c r="C27" s="21" t="s">
        <v>57</v>
      </c>
      <c r="D27" s="57"/>
      <c r="E27" s="57"/>
      <c r="F27" s="58"/>
    </row>
    <row r="28" spans="1:6" s="24" customFormat="1">
      <c r="B28" s="46"/>
      <c r="C28" s="21"/>
      <c r="D28" s="57"/>
      <c r="E28" s="57"/>
      <c r="F28" s="58"/>
    </row>
    <row r="29" spans="1:6" s="24" customFormat="1" ht="15">
      <c r="A29" s="406" t="s">
        <v>617</v>
      </c>
      <c r="B29" s="271" t="s">
        <v>7</v>
      </c>
      <c r="C29" s="10" t="s">
        <v>82</v>
      </c>
      <c r="D29" s="57"/>
      <c r="E29" s="168">
        <f>+ROUND(+VLOOKUP(A29,Holding!A:R,18,0)/100000,2)</f>
        <v>1.92</v>
      </c>
      <c r="F29" s="59">
        <f>+ROUND(E29/$E$34,4)</f>
        <v>2.9999999999999997E-4</v>
      </c>
    </row>
    <row r="30" spans="1:6" s="24" customFormat="1">
      <c r="B30" s="46"/>
      <c r="C30" s="21"/>
      <c r="D30" s="21"/>
      <c r="E30" s="54"/>
      <c r="F30" s="55"/>
    </row>
    <row r="31" spans="1:6" s="24" customFormat="1">
      <c r="B31" s="46"/>
      <c r="C31" s="9" t="s">
        <v>83</v>
      </c>
      <c r="D31" s="21"/>
      <c r="E31" s="54"/>
      <c r="F31" s="55"/>
    </row>
    <row r="32" spans="1:6">
      <c r="B32" s="46"/>
      <c r="C32" s="14" t="s">
        <v>35</v>
      </c>
      <c r="D32" s="21"/>
      <c r="E32" s="168">
        <f>+E34-E29-E18</f>
        <v>-14.540000000000873</v>
      </c>
      <c r="F32" s="59">
        <f>+F34-F29-F18</f>
        <v>-2.3999999999999577E-3</v>
      </c>
    </row>
    <row r="33" spans="1:6">
      <c r="B33" s="46"/>
      <c r="C33" s="21"/>
      <c r="D33" s="21"/>
      <c r="E33" s="15"/>
      <c r="F33" s="51"/>
    </row>
    <row r="34" spans="1:6">
      <c r="A34" s="2" t="s">
        <v>438</v>
      </c>
      <c r="B34" s="46"/>
      <c r="C34" s="119" t="s">
        <v>14</v>
      </c>
      <c r="D34" s="60"/>
      <c r="E34" s="168">
        <f>+ROUND(+VLOOKUP(A34,Holding!A:R,18,0)/100000,2)</f>
        <v>5885.4</v>
      </c>
      <c r="F34" s="59">
        <v>1</v>
      </c>
    </row>
    <row r="35" spans="1:6" ht="13.5" thickBot="1">
      <c r="B35" s="128"/>
      <c r="C35" s="129"/>
      <c r="D35" s="129"/>
      <c r="E35" s="130"/>
      <c r="F35" s="131"/>
    </row>
    <row r="36" spans="1:6">
      <c r="B36" s="29"/>
      <c r="C36" s="30"/>
      <c r="D36" s="30"/>
      <c r="E36" s="31"/>
      <c r="F36" s="132"/>
    </row>
    <row r="37" spans="1:6">
      <c r="B37" s="6" t="s">
        <v>15</v>
      </c>
      <c r="C37" s="42"/>
      <c r="D37" s="42"/>
      <c r="E37" s="62"/>
      <c r="F37" s="41"/>
    </row>
    <row r="38" spans="1:6" ht="13.5" customHeight="1">
      <c r="B38" s="33" t="s">
        <v>16</v>
      </c>
      <c r="C38" s="478" t="str">
        <f>"Total Non performing Assets provided for and its percentage to NAV as on "&amp;TEXT(Index!C23,"mmmmmmmmmm dd, yyyy")&amp;" - NIL"</f>
        <v>Total Non performing Assets provided for and its percentage to NAV as on January 31, 2017 - NIL</v>
      </c>
      <c r="D38" s="478"/>
      <c r="E38" s="478"/>
      <c r="F38" s="479"/>
    </row>
    <row r="39" spans="1:6" ht="14.25" customHeight="1">
      <c r="B39" s="33" t="s">
        <v>17</v>
      </c>
      <c r="C39" s="4" t="s">
        <v>36</v>
      </c>
      <c r="D39" s="4"/>
      <c r="E39" s="62"/>
      <c r="F39" s="41"/>
    </row>
    <row r="40" spans="1:6" ht="25.5">
      <c r="B40" s="33"/>
      <c r="C40" s="344" t="s">
        <v>20</v>
      </c>
      <c r="D40" s="345" t="str">
        <f>"As on "&amp;TEXT(Index!C24,"mmmmmmmmmm dd, yyyy")&amp;" (Rs.)"</f>
        <v>As on January 31, 2017 (Rs.)</v>
      </c>
      <c r="E40" s="109"/>
      <c r="F40" s="138"/>
    </row>
    <row r="41" spans="1:6">
      <c r="A41" s="2" t="s">
        <v>347</v>
      </c>
      <c r="B41" s="33"/>
      <c r="C41" s="346" t="s">
        <v>21</v>
      </c>
      <c r="D41" s="347">
        <f>+VLOOKUP(A41,Bloomberg!C:E,3,0)</f>
        <v>1318.5244</v>
      </c>
      <c r="E41" s="109"/>
      <c r="F41" s="138"/>
    </row>
    <row r="42" spans="1:6" ht="18.75" customHeight="1">
      <c r="B42" s="63" t="s">
        <v>18</v>
      </c>
      <c r="C42" s="109" t="str">
        <f>"Bonus declared during the period ended "&amp;TEXT(Index!C23,"mmmmmmmmmm dd, yyyy")&amp;" - NIL"</f>
        <v>Bonus declared during the period ended January 31, 2017 - NIL</v>
      </c>
      <c r="D42" s="290"/>
      <c r="E42" s="290"/>
      <c r="F42" s="138"/>
    </row>
    <row r="43" spans="1:6" ht="18.75" customHeight="1">
      <c r="B43" s="63" t="s">
        <v>23</v>
      </c>
      <c r="C43" s="472" t="str">
        <f>"Total outstanding exposure in derivative instruments as on "&amp;TEXT(Index!C23,"mmmmmmmmmm dd, yyyy")&amp;" - NIL"</f>
        <v>Total outstanding exposure in derivative instruments as on January 31, 2017 - NIL</v>
      </c>
      <c r="D43" s="472"/>
      <c r="E43" s="472"/>
      <c r="F43" s="138"/>
    </row>
    <row r="44" spans="1:6" ht="28.5" customHeight="1">
      <c r="B44" s="34" t="s">
        <v>24</v>
      </c>
      <c r="C44" s="473" t="str">
        <f>"Total Market value of investments in Foreign Securities/American Depository Receipts/Global Depository Receipts as on "&amp;TEXT(Index!C23,"mmmmmmmmmm dd, yyyy")&amp;" is  Rs. - NIL"</f>
        <v>Total Market value of investments in Foreign Securities/American Depository Receipts/Global Depository Receipts as on January 31, 2017 is  Rs. - NIL</v>
      </c>
      <c r="D44" s="473"/>
      <c r="E44" s="473"/>
      <c r="F44" s="474"/>
    </row>
    <row r="45" spans="1:6" ht="17.25" customHeight="1">
      <c r="B45" s="108" t="s">
        <v>25</v>
      </c>
      <c r="C45" s="109" t="s">
        <v>190</v>
      </c>
      <c r="D45" s="340"/>
      <c r="E45" s="340"/>
      <c r="F45" s="341"/>
    </row>
    <row r="46" spans="1:6" ht="16.5" customHeight="1">
      <c r="B46" s="108" t="s">
        <v>26</v>
      </c>
      <c r="C46" s="1" t="s">
        <v>628</v>
      </c>
      <c r="D46" s="340"/>
      <c r="E46" s="340"/>
      <c r="F46" s="341"/>
    </row>
    <row r="47" spans="1:6" ht="17.25" customHeight="1">
      <c r="B47" s="108" t="s">
        <v>27</v>
      </c>
      <c r="C47" s="109" t="s">
        <v>188</v>
      </c>
      <c r="D47" s="340"/>
      <c r="E47" s="340"/>
      <c r="F47" s="341"/>
    </row>
    <row r="48" spans="1:6" ht="17.25" customHeight="1">
      <c r="B48" s="108" t="s">
        <v>37</v>
      </c>
      <c r="C48" s="109" t="s">
        <v>189</v>
      </c>
      <c r="D48" s="340"/>
      <c r="E48" s="340"/>
      <c r="F48" s="341"/>
    </row>
    <row r="49" spans="2:6" ht="17.25" customHeight="1">
      <c r="B49" s="108" t="s">
        <v>53</v>
      </c>
      <c r="C49" s="1" t="str">
        <f>"Total Brokerage Paid for Buying/ Selling of Investment for the month ended "&amp;TEXT(Index!C23,"mmmmmmmmmm dd, yyyy")&amp;" - NIL"</f>
        <v>Total Brokerage Paid for Buying/ Selling of Investment for the month ended January 31, 2017 - NIL</v>
      </c>
      <c r="D49" s="340"/>
      <c r="E49" s="340"/>
      <c r="F49" s="341"/>
    </row>
    <row r="50" spans="2:6" ht="17.25" customHeight="1">
      <c r="B50" s="108"/>
      <c r="C50" s="109"/>
      <c r="D50" s="340"/>
      <c r="E50" s="340"/>
      <c r="F50" s="341"/>
    </row>
    <row r="51" spans="2:6" ht="17.25" customHeight="1" thickBot="1">
      <c r="B51" s="36" t="s">
        <v>47</v>
      </c>
      <c r="C51" s="37" t="s">
        <v>48</v>
      </c>
      <c r="D51" s="37"/>
      <c r="E51" s="37"/>
      <c r="F51" s="65"/>
    </row>
  </sheetData>
  <sortState ref="C15:F17">
    <sortCondition descending="1" ref="E15:E17"/>
  </sortState>
  <mergeCells count="9">
    <mergeCell ref="C43:E43"/>
    <mergeCell ref="C44:F44"/>
    <mergeCell ref="B1:F1"/>
    <mergeCell ref="B3:F3"/>
    <mergeCell ref="B4:F4"/>
    <mergeCell ref="B8:F8"/>
    <mergeCell ref="B10:F10"/>
    <mergeCell ref="C38:F38"/>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opLeftCell="B1" zoomScale="90" zoomScaleNormal="90" workbookViewId="0">
      <selection activeCell="I9" sqref="I9"/>
    </sheetView>
  </sheetViews>
  <sheetFormatPr defaultColWidth="9.140625" defaultRowHeight="12.75"/>
  <cols>
    <col min="1" max="1" width="19.1406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1" width="9.140625" style="2"/>
    <col min="12" max="12" width="11" style="2" bestFit="1" customWidth="1"/>
    <col min="13" max="13" width="9.140625" style="2"/>
    <col min="14" max="14" width="10.140625" style="2" bestFit="1" customWidth="1"/>
    <col min="15" max="16384" width="9.140625" style="2"/>
  </cols>
  <sheetData>
    <row r="1" spans="1:9">
      <c r="B1" s="441" t="s">
        <v>0</v>
      </c>
      <c r="C1" s="442"/>
      <c r="D1" s="442"/>
      <c r="E1" s="482"/>
      <c r="F1" s="442"/>
      <c r="G1" s="442"/>
      <c r="H1" s="443"/>
    </row>
    <row r="2" spans="1:9">
      <c r="B2" s="3"/>
      <c r="C2" s="4"/>
      <c r="D2" s="4"/>
      <c r="E2" s="4"/>
      <c r="F2" s="4"/>
      <c r="G2" s="62"/>
      <c r="H2" s="41"/>
    </row>
    <row r="3" spans="1:9">
      <c r="B3" s="444" t="s">
        <v>1</v>
      </c>
      <c r="C3" s="445"/>
      <c r="D3" s="445"/>
      <c r="E3" s="483"/>
      <c r="F3" s="445"/>
      <c r="G3" s="445"/>
      <c r="H3" s="446"/>
    </row>
    <row r="4" spans="1:9">
      <c r="B4" s="444" t="s">
        <v>2</v>
      </c>
      <c r="C4" s="445"/>
      <c r="D4" s="445"/>
      <c r="E4" s="483"/>
      <c r="F4" s="445"/>
      <c r="G4" s="445"/>
      <c r="H4" s="446"/>
    </row>
    <row r="5" spans="1:9" ht="15" customHeight="1">
      <c r="B5" s="447" t="s">
        <v>135</v>
      </c>
      <c r="C5" s="448"/>
      <c r="D5" s="448"/>
      <c r="E5" s="448"/>
      <c r="F5" s="448"/>
      <c r="G5" s="448"/>
      <c r="H5" s="449"/>
    </row>
    <row r="6" spans="1:9" ht="15" customHeight="1">
      <c r="B6" s="447"/>
      <c r="C6" s="448"/>
      <c r="D6" s="448"/>
      <c r="E6" s="448"/>
      <c r="F6" s="448"/>
      <c r="G6" s="448"/>
      <c r="H6" s="449"/>
    </row>
    <row r="7" spans="1:9">
      <c r="B7" s="3"/>
      <c r="C7" s="4"/>
      <c r="D7" s="4"/>
      <c r="E7" s="4"/>
      <c r="F7" s="4"/>
      <c r="G7" s="62"/>
      <c r="H7" s="41"/>
    </row>
    <row r="8" spans="1:9">
      <c r="B8" s="444" t="s">
        <v>93</v>
      </c>
      <c r="C8" s="445"/>
      <c r="D8" s="445"/>
      <c r="E8" s="483"/>
      <c r="F8" s="445"/>
      <c r="G8" s="445"/>
      <c r="H8" s="446"/>
    </row>
    <row r="9" spans="1:9">
      <c r="B9" s="3"/>
      <c r="C9" s="4"/>
      <c r="D9" s="4"/>
      <c r="E9" s="4"/>
      <c r="F9" s="4"/>
      <c r="G9" s="62"/>
      <c r="H9" s="41"/>
      <c r="I9" s="2" t="s">
        <v>1053</v>
      </c>
    </row>
    <row r="10" spans="1:9">
      <c r="B10" s="444" t="str">
        <f>"Monthly Portfolio Statement of the Quantum Index Fund for the period ended "&amp;TEXT(Index!C23,"mmmmmmmmmm dd, yyyy")</f>
        <v>Monthly Portfolio Statement of the Quantum Index Fund for the period ended January 31, 2017</v>
      </c>
      <c r="C10" s="445"/>
      <c r="D10" s="445"/>
      <c r="E10" s="483"/>
      <c r="F10" s="445"/>
      <c r="G10" s="445"/>
      <c r="H10" s="446"/>
    </row>
    <row r="11" spans="1:9" ht="13.5" thickBot="1">
      <c r="B11" s="66"/>
      <c r="C11" s="37"/>
      <c r="D11" s="37"/>
      <c r="E11" s="37"/>
      <c r="F11" s="37"/>
      <c r="G11" s="67"/>
      <c r="H11" s="65"/>
    </row>
    <row r="12" spans="1:9" s="229" customFormat="1" ht="48" customHeight="1">
      <c r="B12" s="383" t="s">
        <v>3</v>
      </c>
      <c r="C12" s="173" t="s">
        <v>4</v>
      </c>
      <c r="D12" s="232" t="s">
        <v>97</v>
      </c>
      <c r="E12" s="173" t="s">
        <v>38</v>
      </c>
      <c r="F12" s="173" t="s">
        <v>5</v>
      </c>
      <c r="G12" s="173" t="s">
        <v>147</v>
      </c>
      <c r="H12" s="233" t="s">
        <v>6</v>
      </c>
    </row>
    <row r="13" spans="1:9">
      <c r="B13" s="46"/>
      <c r="C13" s="21"/>
      <c r="D13" s="127"/>
      <c r="E13" s="14"/>
      <c r="F13" s="14"/>
      <c r="G13" s="14"/>
      <c r="H13" s="61"/>
    </row>
    <row r="14" spans="1:9">
      <c r="A14" s="2" t="s">
        <v>158</v>
      </c>
      <c r="B14" s="46"/>
      <c r="C14" s="21" t="s">
        <v>58</v>
      </c>
      <c r="D14" s="127"/>
      <c r="E14" s="14"/>
      <c r="F14" s="14"/>
      <c r="G14" s="14"/>
      <c r="H14" s="61"/>
    </row>
    <row r="15" spans="1:9">
      <c r="B15" s="46"/>
      <c r="C15" s="49"/>
      <c r="D15" s="127"/>
      <c r="E15" s="159"/>
      <c r="F15" s="15"/>
      <c r="G15" s="14"/>
      <c r="H15" s="61"/>
    </row>
    <row r="16" spans="1:9">
      <c r="B16" s="230" t="s">
        <v>7</v>
      </c>
      <c r="C16" s="21" t="s">
        <v>8</v>
      </c>
      <c r="D16" s="127"/>
      <c r="E16" s="15"/>
      <c r="F16" s="15"/>
      <c r="G16" s="14"/>
      <c r="H16" s="61"/>
    </row>
    <row r="17" spans="1:8">
      <c r="B17" s="230"/>
      <c r="C17" s="21"/>
      <c r="D17" s="127"/>
      <c r="E17" s="15"/>
      <c r="F17" s="158"/>
      <c r="G17" s="157"/>
      <c r="H17" s="61"/>
    </row>
    <row r="18" spans="1:8">
      <c r="A18" s="2" t="str">
        <f t="shared" ref="A18:A49" si="0">$A$14&amp;D18</f>
        <v>QIFINE040A01026</v>
      </c>
      <c r="B18" s="230">
        <f>+B17+1</f>
        <v>1</v>
      </c>
      <c r="C18" s="196" t="str">
        <f>VLOOKUP(A18,Holding!A:AM,39,0)&amp;"*"</f>
        <v>HDFC Bank Limited*</v>
      </c>
      <c r="D18" s="127" t="s">
        <v>101</v>
      </c>
      <c r="E18" s="157" t="str">
        <f>VLOOKUP(A18,Holding!A:AL,38,0)</f>
        <v>Banks</v>
      </c>
      <c r="F18" s="158">
        <f>+VLOOKUP(A18,Holding!A:I,9,0)</f>
        <v>2635</v>
      </c>
      <c r="G18" s="157">
        <f>+ROUND(+VLOOKUP(A18,Holding!A:R,18,0)/100000,2)</f>
        <v>33.9</v>
      </c>
      <c r="H18" s="16">
        <f>ROUND(+G18/$G$89,5)</f>
        <v>8.1879999999999994E-2</v>
      </c>
    </row>
    <row r="19" spans="1:8">
      <c r="A19" s="2" t="str">
        <f t="shared" si="0"/>
        <v>QIFINE154A01025</v>
      </c>
      <c r="B19" s="230">
        <f>+B18+1</f>
        <v>2</v>
      </c>
      <c r="C19" s="196" t="str">
        <f>VLOOKUP(A19,Holding!A:AM,39,0)&amp;"*"</f>
        <v>ITC Limited*</v>
      </c>
      <c r="D19" s="127" t="s">
        <v>130</v>
      </c>
      <c r="E19" s="157" t="str">
        <f>VLOOKUP(A19,Holding!A:AL,38,0)</f>
        <v>Consumer Non Durables</v>
      </c>
      <c r="F19" s="158">
        <f>+VLOOKUP(A19,Holding!A:I,9,0)</f>
        <v>11143</v>
      </c>
      <c r="G19" s="157">
        <f>+ROUND(+VLOOKUP(A19,Holding!A:R,18,0)/100000,2)</f>
        <v>28.76</v>
      </c>
      <c r="H19" s="16">
        <f t="shared" ref="H19:H68" si="1">ROUND(+G19/$G$89,5)</f>
        <v>6.9470000000000004E-2</v>
      </c>
    </row>
    <row r="20" spans="1:8">
      <c r="A20" s="2" t="str">
        <f t="shared" si="0"/>
        <v>QIFINE001A01036</v>
      </c>
      <c r="B20" s="230">
        <f>+B19+1</f>
        <v>3</v>
      </c>
      <c r="C20" s="196" t="str">
        <f>VLOOKUP(A20,Holding!A:AM,39,0)&amp;"*"</f>
        <v>Housing Development Finance Corporation Limited*</v>
      </c>
      <c r="D20" s="127" t="s">
        <v>100</v>
      </c>
      <c r="E20" s="157" t="str">
        <f>VLOOKUP(A20,Holding!A:AL,38,0)</f>
        <v>Finance</v>
      </c>
      <c r="F20" s="158">
        <f>+VLOOKUP(A20,Holding!A:I,9,0)</f>
        <v>2082</v>
      </c>
      <c r="G20" s="157">
        <f>+ROUND(+VLOOKUP(A20,Holding!A:R,18,0)/100000,2)</f>
        <v>28.44</v>
      </c>
      <c r="H20" s="16">
        <f t="shared" si="1"/>
        <v>6.8690000000000001E-2</v>
      </c>
    </row>
    <row r="21" spans="1:8">
      <c r="A21" s="2" t="str">
        <f t="shared" si="0"/>
        <v>QIFINE009A01021</v>
      </c>
      <c r="B21" s="230">
        <f t="shared" ref="B21:B68" si="2">+B20+1</f>
        <v>4</v>
      </c>
      <c r="C21" s="196" t="str">
        <f>VLOOKUP(A21,Holding!A:AM,39,0)&amp;"*"</f>
        <v>Infosys Limited*</v>
      </c>
      <c r="D21" s="127" t="s">
        <v>99</v>
      </c>
      <c r="E21" s="157" t="str">
        <f>VLOOKUP(A21,Holding!A:AL,38,0)</f>
        <v>Software</v>
      </c>
      <c r="F21" s="158">
        <f>+VLOOKUP(A21,Holding!A:I,9,0)</f>
        <v>2625</v>
      </c>
      <c r="G21" s="157">
        <f>+ROUND(+VLOOKUP(A21,Holding!A:R,18,0)/100000,2)</f>
        <v>24.38</v>
      </c>
      <c r="H21" s="16">
        <f t="shared" si="1"/>
        <v>5.8889999999999998E-2</v>
      </c>
    </row>
    <row r="22" spans="1:8">
      <c r="A22" s="2" t="str">
        <f t="shared" si="0"/>
        <v>QIFINE002A01018</v>
      </c>
      <c r="B22" s="230">
        <f t="shared" si="2"/>
        <v>5</v>
      </c>
      <c r="C22" s="196" t="str">
        <f>VLOOKUP(A22,Holding!A:AM,39,0)&amp;"*"</f>
        <v>Reliance Industries Limited*</v>
      </c>
      <c r="D22" s="127" t="s">
        <v>98</v>
      </c>
      <c r="E22" s="157" t="str">
        <f>VLOOKUP(A22,Holding!A:AL,38,0)</f>
        <v>Petroleum Products</v>
      </c>
      <c r="F22" s="158">
        <f>+VLOOKUP(A22,Holding!A:I,9,0)</f>
        <v>2173</v>
      </c>
      <c r="G22" s="157">
        <f>+ROUND(+VLOOKUP(A22,Holding!A:R,18,0)/100000,2)</f>
        <v>22.71</v>
      </c>
      <c r="H22" s="16">
        <f t="shared" si="1"/>
        <v>5.4850000000000003E-2</v>
      </c>
    </row>
    <row r="23" spans="1:8">
      <c r="A23" s="2" t="str">
        <f t="shared" si="0"/>
        <v>QIFINE090A01021</v>
      </c>
      <c r="B23" s="230">
        <f t="shared" si="2"/>
        <v>6</v>
      </c>
      <c r="C23" s="196" t="str">
        <f>VLOOKUP(A23,Holding!A:AM,39,0)&amp;"*"</f>
        <v>ICICI Bank Limited*</v>
      </c>
      <c r="D23" s="127" t="s">
        <v>204</v>
      </c>
      <c r="E23" s="157" t="str">
        <f>VLOOKUP(A23,Holding!A:AL,38,0)</f>
        <v>Banks</v>
      </c>
      <c r="F23" s="158">
        <f>+VLOOKUP(A23,Holding!A:I,9,0)</f>
        <v>7646</v>
      </c>
      <c r="G23" s="157">
        <f>+ROUND(+VLOOKUP(A23,Holding!A:R,18,0)/100000,2)</f>
        <v>20.56</v>
      </c>
      <c r="H23" s="16">
        <f t="shared" si="1"/>
        <v>4.9660000000000003E-2</v>
      </c>
    </row>
    <row r="24" spans="1:8">
      <c r="A24" s="2" t="str">
        <f t="shared" si="0"/>
        <v>QIFINE018A01030</v>
      </c>
      <c r="B24" s="230">
        <f t="shared" si="2"/>
        <v>7</v>
      </c>
      <c r="C24" s="196" t="str">
        <f>VLOOKUP(A24,Holding!A:AM,39,0)&amp;"*"</f>
        <v>Larsen &amp; Toubro Limited*</v>
      </c>
      <c r="D24" s="127" t="s">
        <v>102</v>
      </c>
      <c r="E24" s="157" t="str">
        <f>VLOOKUP(A24,Holding!A:AL,38,0)</f>
        <v>Construction Project</v>
      </c>
      <c r="F24" s="158">
        <f>+VLOOKUP(A24,Holding!A:I,9,0)</f>
        <v>1081</v>
      </c>
      <c r="G24" s="157">
        <f>+ROUND(+VLOOKUP(A24,Holding!A:R,18,0)/100000,2)</f>
        <v>15.63</v>
      </c>
      <c r="H24" s="16">
        <f t="shared" si="1"/>
        <v>3.7749999999999999E-2</v>
      </c>
    </row>
    <row r="25" spans="1:8">
      <c r="A25" s="2" t="str">
        <f t="shared" si="0"/>
        <v>QIFINE467B01029</v>
      </c>
      <c r="B25" s="230">
        <f t="shared" si="2"/>
        <v>8</v>
      </c>
      <c r="C25" s="196" t="str">
        <f>VLOOKUP(A25,Holding!A:AM,39,0)&amp;"*"</f>
        <v>Tata Consultancy Services Limited*</v>
      </c>
      <c r="D25" s="127" t="s">
        <v>103</v>
      </c>
      <c r="E25" s="157" t="str">
        <f>VLOOKUP(A25,Holding!A:AL,38,0)</f>
        <v>Software</v>
      </c>
      <c r="F25" s="158">
        <f>+VLOOKUP(A25,Holding!A:I,9,0)</f>
        <v>699</v>
      </c>
      <c r="G25" s="157">
        <f>+ROUND(+VLOOKUP(A25,Holding!A:R,18,0)/100000,2)</f>
        <v>15.59</v>
      </c>
      <c r="H25" s="16">
        <f t="shared" si="1"/>
        <v>3.7659999999999999E-2</v>
      </c>
    </row>
    <row r="26" spans="1:8">
      <c r="A26" s="2" t="str">
        <f t="shared" si="0"/>
        <v>QIFINE155A01022</v>
      </c>
      <c r="B26" s="230">
        <f t="shared" si="2"/>
        <v>9</v>
      </c>
      <c r="C26" s="196" t="str">
        <f>VLOOKUP(A26,Holding!A:AM,39,0)&amp;"*"</f>
        <v>Tata Motors Limited*</v>
      </c>
      <c r="D26" s="127" t="s">
        <v>106</v>
      </c>
      <c r="E26" s="157" t="str">
        <f>VLOOKUP(A26,Holding!A:AL,38,0)</f>
        <v>Auto</v>
      </c>
      <c r="F26" s="158">
        <f>+VLOOKUP(A26,Holding!A:I,9,0)</f>
        <v>2541</v>
      </c>
      <c r="G26" s="157">
        <f>+ROUND(+VLOOKUP(A26,Holding!A:R,18,0)/100000,2)</f>
        <v>13.3</v>
      </c>
      <c r="H26" s="16">
        <f t="shared" si="1"/>
        <v>3.2120000000000003E-2</v>
      </c>
    </row>
    <row r="27" spans="1:8">
      <c r="A27" s="2" t="str">
        <f t="shared" si="0"/>
        <v>QIFINE237A01028</v>
      </c>
      <c r="B27" s="230">
        <f t="shared" si="2"/>
        <v>10</v>
      </c>
      <c r="C27" s="196" t="str">
        <f>VLOOKUP(A27,Holding!A:AM,39,0)&amp;"*"</f>
        <v>Kotak Mahindra Bank Limited*</v>
      </c>
      <c r="D27" s="127" t="s">
        <v>112</v>
      </c>
      <c r="E27" s="157" t="str">
        <f>VLOOKUP(A27,Holding!A:AL,38,0)</f>
        <v>Banks</v>
      </c>
      <c r="F27" s="158">
        <f>+VLOOKUP(A27,Holding!A:I,9,0)</f>
        <v>1549</v>
      </c>
      <c r="G27" s="157">
        <f>+ROUND(+VLOOKUP(A27,Holding!A:R,18,0)/100000,2)</f>
        <v>11.99</v>
      </c>
      <c r="H27" s="16">
        <f t="shared" si="1"/>
        <v>2.896E-2</v>
      </c>
    </row>
    <row r="28" spans="1:8">
      <c r="A28" s="2" t="str">
        <f t="shared" si="0"/>
        <v>QIFINE062A01020</v>
      </c>
      <c r="B28" s="230">
        <f t="shared" si="2"/>
        <v>11</v>
      </c>
      <c r="C28" s="196" t="str">
        <f>VLOOKUP(A28,Holding!A:AM,39,0)</f>
        <v>State Bank of India</v>
      </c>
      <c r="D28" s="127" t="s">
        <v>201</v>
      </c>
      <c r="E28" s="157" t="str">
        <f>VLOOKUP(A28,Holding!A:AL,38,0)</f>
        <v>Banks</v>
      </c>
      <c r="F28" s="158">
        <f>+VLOOKUP(A28,Holding!A:I,9,0)</f>
        <v>4077</v>
      </c>
      <c r="G28" s="157">
        <f>+ROUND(+VLOOKUP(A28,Holding!A:R,18,0)/100000,2)</f>
        <v>10.61</v>
      </c>
      <c r="H28" s="16">
        <f t="shared" si="1"/>
        <v>2.563E-2</v>
      </c>
    </row>
    <row r="29" spans="1:8">
      <c r="A29" s="2" t="str">
        <f t="shared" si="0"/>
        <v>QIFINE238A01034</v>
      </c>
      <c r="B29" s="230">
        <f t="shared" si="2"/>
        <v>12</v>
      </c>
      <c r="C29" s="196" t="str">
        <f>VLOOKUP(A29,Holding!A:AM,39,0)</f>
        <v>Axis Bank Limited</v>
      </c>
      <c r="D29" s="127" t="s">
        <v>184</v>
      </c>
      <c r="E29" s="157" t="str">
        <f>VLOOKUP(A29,Holding!A:AL,38,0)</f>
        <v>Banks</v>
      </c>
      <c r="F29" s="158">
        <f>+VLOOKUP(A29,Holding!A:I,9,0)</f>
        <v>2230</v>
      </c>
      <c r="G29" s="157">
        <f>+ROUND(+VLOOKUP(A29,Holding!A:R,18,0)/100000,2)</f>
        <v>10.39</v>
      </c>
      <c r="H29" s="16">
        <f t="shared" si="1"/>
        <v>2.5100000000000001E-2</v>
      </c>
    </row>
    <row r="30" spans="1:8">
      <c r="A30" s="2" t="str">
        <f t="shared" si="0"/>
        <v>QIFINE585B01010</v>
      </c>
      <c r="B30" s="230">
        <f t="shared" si="2"/>
        <v>13</v>
      </c>
      <c r="C30" s="196" t="str">
        <f>VLOOKUP(A30,Holding!A:AM,39,0)</f>
        <v>Maruti Suzuki India Limited</v>
      </c>
      <c r="D30" s="127" t="s">
        <v>119</v>
      </c>
      <c r="E30" s="157" t="str">
        <f>VLOOKUP(A30,Holding!A:AL,38,0)</f>
        <v>Auto</v>
      </c>
      <c r="F30" s="158">
        <f>+VLOOKUP(A30,Holding!A:I,9,0)</f>
        <v>175</v>
      </c>
      <c r="G30" s="157">
        <f>+ROUND(+VLOOKUP(A30,Holding!A:R,18,0)/100000,2)</f>
        <v>10.31</v>
      </c>
      <c r="H30" s="16">
        <f t="shared" si="1"/>
        <v>2.4899999999999999E-2</v>
      </c>
    </row>
    <row r="31" spans="1:8">
      <c r="A31" s="2" t="str">
        <f t="shared" si="0"/>
        <v>QIFINE044A01036</v>
      </c>
      <c r="B31" s="230">
        <f t="shared" si="2"/>
        <v>14</v>
      </c>
      <c r="C31" s="196" t="str">
        <f>VLOOKUP(A31,Holding!A:AM,39,0)</f>
        <v>Sun Pharmaceuticals Industries Limited</v>
      </c>
      <c r="D31" s="127" t="s">
        <v>110</v>
      </c>
      <c r="E31" s="157" t="str">
        <f>VLOOKUP(A31,Holding!A:AL,38,0)</f>
        <v>Pharmaceuticals</v>
      </c>
      <c r="F31" s="158">
        <f>+VLOOKUP(A31,Holding!A:I,9,0)</f>
        <v>1428</v>
      </c>
      <c r="G31" s="157">
        <f>+ROUND(+VLOOKUP(A31,Holding!A:R,18,0)/100000,2)</f>
        <v>9.02</v>
      </c>
      <c r="H31" s="16">
        <f t="shared" si="1"/>
        <v>2.179E-2</v>
      </c>
    </row>
    <row r="32" spans="1:8">
      <c r="A32" s="2" t="str">
        <f t="shared" si="0"/>
        <v>QIFINE095A01012</v>
      </c>
      <c r="B32" s="230">
        <f t="shared" si="2"/>
        <v>15</v>
      </c>
      <c r="C32" s="196" t="str">
        <f>VLOOKUP(A32,Holding!A:AM,39,0)</f>
        <v>IndusInd Bank Limited</v>
      </c>
      <c r="D32" s="127" t="s">
        <v>168</v>
      </c>
      <c r="E32" s="157" t="str">
        <f>VLOOKUP(A32,Holding!A:AL,38,0)</f>
        <v>Banks</v>
      </c>
      <c r="F32" s="158">
        <f>+VLOOKUP(A32,Holding!A:I,9,0)</f>
        <v>659</v>
      </c>
      <c r="G32" s="157">
        <f>+ROUND(+VLOOKUP(A32,Holding!A:R,18,0)/100000,2)</f>
        <v>8.25</v>
      </c>
      <c r="H32" s="16">
        <f t="shared" si="1"/>
        <v>1.993E-2</v>
      </c>
    </row>
    <row r="33" spans="1:14">
      <c r="A33" s="2" t="str">
        <f t="shared" si="0"/>
        <v>QIFINE030A01027</v>
      </c>
      <c r="B33" s="230">
        <f t="shared" si="2"/>
        <v>16</v>
      </c>
      <c r="C33" s="196" t="str">
        <f>VLOOKUP(A33,Holding!A:AM,39,0)</f>
        <v>Hindustan Unilever Limited</v>
      </c>
      <c r="D33" s="127" t="s">
        <v>104</v>
      </c>
      <c r="E33" s="157" t="str">
        <f>VLOOKUP(A33,Holding!A:AL,38,0)</f>
        <v>Consumer Non Durables</v>
      </c>
      <c r="F33" s="158">
        <f>+VLOOKUP(A33,Holding!A:I,9,0)</f>
        <v>942</v>
      </c>
      <c r="G33" s="157">
        <f>+ROUND(+VLOOKUP(A33,Holding!A:R,18,0)/100000,2)</f>
        <v>8.06</v>
      </c>
      <c r="H33" s="16">
        <f t="shared" si="1"/>
        <v>1.9470000000000001E-2</v>
      </c>
    </row>
    <row r="34" spans="1:14">
      <c r="A34" s="2" t="str">
        <f t="shared" si="0"/>
        <v>QIFINE101A01026</v>
      </c>
      <c r="B34" s="230">
        <f t="shared" si="2"/>
        <v>17</v>
      </c>
      <c r="C34" s="196" t="str">
        <f>VLOOKUP(A34,Holding!A:AM,39,0)</f>
        <v>Mahindra &amp; Mahindra Limited</v>
      </c>
      <c r="D34" s="127" t="s">
        <v>107</v>
      </c>
      <c r="E34" s="157" t="str">
        <f>VLOOKUP(A34,Holding!A:AL,38,0)</f>
        <v>Auto</v>
      </c>
      <c r="F34" s="158">
        <f>+VLOOKUP(A34,Holding!A:I,9,0)</f>
        <v>614</v>
      </c>
      <c r="G34" s="157">
        <f>+ROUND(+VLOOKUP(A34,Holding!A:R,18,0)/100000,2)</f>
        <v>7.61</v>
      </c>
      <c r="H34" s="16">
        <f t="shared" si="1"/>
        <v>1.8380000000000001E-2</v>
      </c>
    </row>
    <row r="35" spans="1:14">
      <c r="A35" s="2" t="str">
        <f t="shared" si="0"/>
        <v>QIFINE213A01029</v>
      </c>
      <c r="B35" s="230">
        <f t="shared" si="2"/>
        <v>18</v>
      </c>
      <c r="C35" s="196" t="str">
        <f>VLOOKUP(A35,Holding!A:AM,39,0)</f>
        <v>Oil &amp; Natural Gas Corporation Limited</v>
      </c>
      <c r="D35" s="127" t="s">
        <v>105</v>
      </c>
      <c r="E35" s="157" t="str">
        <f>VLOOKUP(A35,Holding!A:AL,38,0)</f>
        <v>Oil</v>
      </c>
      <c r="F35" s="158">
        <f>+VLOOKUP(A35,Holding!A:I,9,0)</f>
        <v>3538</v>
      </c>
      <c r="G35" s="157">
        <f>+ROUND(+VLOOKUP(A35,Holding!A:R,18,0)/100000,2)</f>
        <v>7.17</v>
      </c>
      <c r="H35" s="16">
        <f t="shared" si="1"/>
        <v>1.7319999999999999E-2</v>
      </c>
    </row>
    <row r="36" spans="1:14">
      <c r="A36" s="2" t="str">
        <f t="shared" si="0"/>
        <v>QIFINE528G01019</v>
      </c>
      <c r="B36" s="230">
        <f t="shared" si="2"/>
        <v>19</v>
      </c>
      <c r="C36" s="196" t="str">
        <f>VLOOKUP(A36,Holding!A:AM,39,0)</f>
        <v>Yes Bank Limited</v>
      </c>
      <c r="D36" s="127" t="s">
        <v>216</v>
      </c>
      <c r="E36" s="157" t="str">
        <f>VLOOKUP(A36,Holding!A:AL,38,0)</f>
        <v>Banks</v>
      </c>
      <c r="F36" s="158">
        <f>+VLOOKUP(A36,Holding!A:I,9,0)</f>
        <v>433</v>
      </c>
      <c r="G36" s="157">
        <f>+ROUND(+VLOOKUP(A36,Holding!A:R,18,0)/100000,2)</f>
        <v>6.04</v>
      </c>
      <c r="H36" s="16">
        <f t="shared" si="1"/>
        <v>1.4590000000000001E-2</v>
      </c>
    </row>
    <row r="37" spans="1:14">
      <c r="A37" s="2" t="str">
        <f t="shared" si="0"/>
        <v>QIFINE397D01024</v>
      </c>
      <c r="B37" s="230">
        <f t="shared" si="2"/>
        <v>20</v>
      </c>
      <c r="C37" s="196" t="str">
        <f>VLOOKUP(A37,Holding!A:AM,39,0)</f>
        <v>Bharti Airtel Limited</v>
      </c>
      <c r="D37" s="127" t="s">
        <v>108</v>
      </c>
      <c r="E37" s="157" t="str">
        <f>VLOOKUP(A37,Holding!A:AL,38,0)</f>
        <v>Telecom - Services</v>
      </c>
      <c r="F37" s="158">
        <f>+VLOOKUP(A37,Holding!A:I,9,0)</f>
        <v>1732</v>
      </c>
      <c r="G37" s="157">
        <f>+ROUND(+VLOOKUP(A37,Holding!A:R,18,0)/100000,2)</f>
        <v>6.03</v>
      </c>
      <c r="H37" s="16">
        <f t="shared" si="1"/>
        <v>1.456E-2</v>
      </c>
    </row>
    <row r="38" spans="1:14" s="24" customFormat="1">
      <c r="A38" s="2" t="str">
        <f t="shared" si="0"/>
        <v>QIFINE860A01027</v>
      </c>
      <c r="B38" s="230">
        <f t="shared" si="2"/>
        <v>21</v>
      </c>
      <c r="C38" s="196" t="str">
        <f>VLOOKUP(A38,Holding!A:AM,39,0)</f>
        <v>HCL Technologies Limited</v>
      </c>
      <c r="D38" s="127" t="s">
        <v>126</v>
      </c>
      <c r="E38" s="157" t="str">
        <f>VLOOKUP(A38,Holding!A:AL,38,0)</f>
        <v>Software</v>
      </c>
      <c r="F38" s="158">
        <f>+VLOOKUP(A38,Holding!A:I,9,0)</f>
        <v>741</v>
      </c>
      <c r="G38" s="157">
        <f>+ROUND(+VLOOKUP(A38,Holding!A:R,18,0)/100000,2)</f>
        <v>6.01</v>
      </c>
      <c r="H38" s="16">
        <f t="shared" si="1"/>
        <v>1.452E-2</v>
      </c>
      <c r="I38" s="2"/>
      <c r="J38" s="2"/>
      <c r="K38" s="2"/>
      <c r="L38" s="2"/>
      <c r="M38" s="2"/>
      <c r="N38" s="2"/>
    </row>
    <row r="39" spans="1:14" s="24" customFormat="1">
      <c r="A39" s="2" t="str">
        <f t="shared" si="0"/>
        <v>QIFINE752E01010</v>
      </c>
      <c r="B39" s="230">
        <f t="shared" si="2"/>
        <v>22</v>
      </c>
      <c r="C39" s="196" t="str">
        <f>VLOOKUP(A39,Holding!A:AM,39,0)</f>
        <v>Power Grid Corporation of India Limited</v>
      </c>
      <c r="D39" s="127" t="s">
        <v>123</v>
      </c>
      <c r="E39" s="157" t="str">
        <f>VLOOKUP(A39,Holding!A:AL,38,0)</f>
        <v>Power</v>
      </c>
      <c r="F39" s="158">
        <f>+VLOOKUP(A39,Holding!A:I,9,0)</f>
        <v>2885</v>
      </c>
      <c r="G39" s="157">
        <f>+ROUND(+VLOOKUP(A39,Holding!A:R,18,0)/100000,2)</f>
        <v>5.98</v>
      </c>
      <c r="H39" s="16">
        <f t="shared" si="1"/>
        <v>1.444E-2</v>
      </c>
      <c r="I39" s="2"/>
      <c r="J39" s="2"/>
      <c r="K39" s="2"/>
      <c r="L39" s="2"/>
      <c r="M39" s="2"/>
      <c r="N39" s="2"/>
    </row>
    <row r="40" spans="1:14">
      <c r="A40" s="2" t="str">
        <f t="shared" si="0"/>
        <v>QIFINE021A01026</v>
      </c>
      <c r="B40" s="230">
        <f t="shared" si="2"/>
        <v>23</v>
      </c>
      <c r="C40" s="196" t="str">
        <f>VLOOKUP(A40,Holding!A:AM,39,0)</f>
        <v>Asian Paints Limited</v>
      </c>
      <c r="D40" s="127" t="s">
        <v>170</v>
      </c>
      <c r="E40" s="157" t="str">
        <f>VLOOKUP(A40,Holding!A:AL,38,0)</f>
        <v>Consumer Non Durables</v>
      </c>
      <c r="F40" s="158">
        <f>+VLOOKUP(A40,Holding!A:I,9,0)</f>
        <v>592</v>
      </c>
      <c r="G40" s="157">
        <f>+ROUND(+VLOOKUP(A40,Holding!A:R,18,0)/100000,2)</f>
        <v>5.75</v>
      </c>
      <c r="H40" s="16">
        <f t="shared" si="1"/>
        <v>1.389E-2</v>
      </c>
    </row>
    <row r="41" spans="1:14">
      <c r="A41" s="2" t="str">
        <f t="shared" si="0"/>
        <v>QIFINE733E01010</v>
      </c>
      <c r="B41" s="230">
        <f t="shared" si="2"/>
        <v>24</v>
      </c>
      <c r="C41" s="196" t="str">
        <f>VLOOKUP(A41,Holding!A:AM,39,0)</f>
        <v>NTPC Limited</v>
      </c>
      <c r="D41" s="127" t="s">
        <v>114</v>
      </c>
      <c r="E41" s="157" t="str">
        <f>VLOOKUP(A41,Holding!A:AL,38,0)</f>
        <v>Power</v>
      </c>
      <c r="F41" s="158">
        <f>+VLOOKUP(A41,Holding!A:I,9,0)</f>
        <v>3263</v>
      </c>
      <c r="G41" s="157">
        <f>+ROUND(+VLOOKUP(A41,Holding!A:R,18,0)/100000,2)</f>
        <v>5.62</v>
      </c>
      <c r="H41" s="16">
        <f t="shared" si="1"/>
        <v>1.357E-2</v>
      </c>
    </row>
    <row r="42" spans="1:14">
      <c r="A42" s="2" t="str">
        <f t="shared" si="0"/>
        <v>QIFINE158A01026</v>
      </c>
      <c r="B42" s="230">
        <f t="shared" si="2"/>
        <v>25</v>
      </c>
      <c r="C42" s="196" t="str">
        <f>VLOOKUP(A42,Holding!A:AM,39,0)</f>
        <v>Hero MotoCorp Limited</v>
      </c>
      <c r="D42" s="127" t="s">
        <v>120</v>
      </c>
      <c r="E42" s="157" t="str">
        <f>VLOOKUP(A42,Holding!A:AL,38,0)</f>
        <v>Auto</v>
      </c>
      <c r="F42" s="158">
        <f>+VLOOKUP(A42,Holding!A:I,9,0)</f>
        <v>166</v>
      </c>
      <c r="G42" s="157">
        <f>+ROUND(+VLOOKUP(A42,Holding!A:R,18,0)/100000,2)</f>
        <v>5.27</v>
      </c>
      <c r="H42" s="16">
        <f t="shared" si="1"/>
        <v>1.273E-2</v>
      </c>
      <c r="I42" s="24"/>
      <c r="J42" s="24"/>
      <c r="K42" s="24"/>
      <c r="L42" s="24"/>
      <c r="M42" s="24"/>
      <c r="N42" s="24"/>
    </row>
    <row r="43" spans="1:14">
      <c r="A43" s="2" t="str">
        <f t="shared" si="0"/>
        <v>QIFINE522F01014</v>
      </c>
      <c r="B43" s="230">
        <f t="shared" si="2"/>
        <v>26</v>
      </c>
      <c r="C43" s="196" t="str">
        <f>VLOOKUP(A43,Holding!A:AM,39,0)</f>
        <v>Coal India Limited</v>
      </c>
      <c r="D43" s="127" t="s">
        <v>113</v>
      </c>
      <c r="E43" s="157" t="str">
        <f>VLOOKUP(A43,Holding!A:AL,38,0)</f>
        <v>Minerals/Mining</v>
      </c>
      <c r="F43" s="158">
        <f>+VLOOKUP(A43,Holding!A:I,9,0)</f>
        <v>1659</v>
      </c>
      <c r="G43" s="157">
        <f>+ROUND(+VLOOKUP(A43,Holding!A:R,18,0)/100000,2)</f>
        <v>5.13</v>
      </c>
      <c r="H43" s="16">
        <f t="shared" si="1"/>
        <v>1.239E-2</v>
      </c>
    </row>
    <row r="44" spans="1:14">
      <c r="A44" s="2" t="str">
        <f t="shared" si="0"/>
        <v>QIFINE917I01010</v>
      </c>
      <c r="B44" s="230">
        <f t="shared" si="2"/>
        <v>27</v>
      </c>
      <c r="C44" s="196" t="str">
        <f>VLOOKUP(A44,Holding!A:AM,39,0)</f>
        <v>Bajaj Auto Limited</v>
      </c>
      <c r="D44" s="127" t="s">
        <v>111</v>
      </c>
      <c r="E44" s="157" t="str">
        <f>VLOOKUP(A44,Holding!A:AL,38,0)</f>
        <v>Auto</v>
      </c>
      <c r="F44" s="158">
        <f>+VLOOKUP(A44,Holding!A:I,9,0)</f>
        <v>179</v>
      </c>
      <c r="G44" s="157">
        <f>+ROUND(+VLOOKUP(A44,Holding!A:R,18,0)/100000,2)</f>
        <v>5.07</v>
      </c>
      <c r="H44" s="16">
        <f t="shared" si="1"/>
        <v>1.225E-2</v>
      </c>
    </row>
    <row r="45" spans="1:14">
      <c r="A45" s="2" t="str">
        <f t="shared" si="0"/>
        <v>QIFINE481G01011</v>
      </c>
      <c r="B45" s="230">
        <f t="shared" si="2"/>
        <v>28</v>
      </c>
      <c r="C45" s="196" t="str">
        <f>VLOOKUP(A45,Holding!A:AM,39,0)</f>
        <v>UltraTech Cement Limited</v>
      </c>
      <c r="D45" s="127" t="s">
        <v>118</v>
      </c>
      <c r="E45" s="157" t="str">
        <f>VLOOKUP(A45,Holding!A:AL,38,0)</f>
        <v>Cement</v>
      </c>
      <c r="F45" s="158">
        <f>+VLOOKUP(A45,Holding!A:I,9,0)</f>
        <v>137</v>
      </c>
      <c r="G45" s="157">
        <f>+ROUND(+VLOOKUP(A45,Holding!A:R,18,0)/100000,2)</f>
        <v>5.0599999999999996</v>
      </c>
      <c r="H45" s="16">
        <f t="shared" si="1"/>
        <v>1.222E-2</v>
      </c>
    </row>
    <row r="46" spans="1:14">
      <c r="A46" s="2" t="str">
        <f t="shared" si="0"/>
        <v>QIFINE089A01023</v>
      </c>
      <c r="B46" s="230">
        <f t="shared" si="2"/>
        <v>29</v>
      </c>
      <c r="C46" s="196" t="str">
        <f>VLOOKUP(A46,Holding!A:AM,39,0)</f>
        <v>Dr. Reddy's Laboratories Limited</v>
      </c>
      <c r="D46" s="127" t="s">
        <v>115</v>
      </c>
      <c r="E46" s="157" t="str">
        <f>VLOOKUP(A46,Holding!A:AL,38,0)</f>
        <v>Pharmaceuticals</v>
      </c>
      <c r="F46" s="158">
        <f>+VLOOKUP(A46,Holding!A:I,9,0)</f>
        <v>165</v>
      </c>
      <c r="G46" s="157">
        <f>+ROUND(+VLOOKUP(A46,Holding!A:R,18,0)/100000,2)</f>
        <v>4.9800000000000004</v>
      </c>
      <c r="H46" s="16">
        <f t="shared" si="1"/>
        <v>1.2030000000000001E-2</v>
      </c>
    </row>
    <row r="47" spans="1:14">
      <c r="A47" s="2" t="str">
        <f t="shared" si="0"/>
        <v>QIFINE029A01011</v>
      </c>
      <c r="B47" s="230">
        <f t="shared" si="2"/>
        <v>30</v>
      </c>
      <c r="C47" s="196" t="str">
        <f>VLOOKUP(A47,Holding!A:AM,39,0)</f>
        <v>Bharat Petroleum Corporation Limited</v>
      </c>
      <c r="D47" s="127" t="s">
        <v>129</v>
      </c>
      <c r="E47" s="157" t="str">
        <f>VLOOKUP(A47,Holding!A:AL,38,0)</f>
        <v>Petroleum Products</v>
      </c>
      <c r="F47" s="158">
        <f>+VLOOKUP(A47,Holding!A:I,9,0)</f>
        <v>684</v>
      </c>
      <c r="G47" s="157">
        <f>+ROUND(+VLOOKUP(A47,Holding!A:R,18,0)/100000,2)</f>
        <v>4.66</v>
      </c>
      <c r="H47" s="16">
        <f t="shared" si="1"/>
        <v>1.1259999999999999E-2</v>
      </c>
    </row>
    <row r="48" spans="1:14">
      <c r="A48" s="2" t="str">
        <f t="shared" si="0"/>
        <v>QIFINE326A01037</v>
      </c>
      <c r="B48" s="230">
        <f t="shared" si="2"/>
        <v>31</v>
      </c>
      <c r="C48" s="196" t="str">
        <f>VLOOKUP(A48,Holding!A:AM,39,0)</f>
        <v>Lupin Limited</v>
      </c>
      <c r="D48" s="127" t="s">
        <v>127</v>
      </c>
      <c r="E48" s="157" t="str">
        <f>VLOOKUP(A48,Holding!A:AL,38,0)</f>
        <v>Pharmaceuticals</v>
      </c>
      <c r="F48" s="158">
        <f>+VLOOKUP(A48,Holding!A:I,9,0)</f>
        <v>314</v>
      </c>
      <c r="G48" s="157">
        <f>+ROUND(+VLOOKUP(A48,Holding!A:R,18,0)/100000,2)</f>
        <v>4.62</v>
      </c>
      <c r="H48" s="16">
        <f t="shared" si="1"/>
        <v>1.116E-2</v>
      </c>
    </row>
    <row r="49" spans="1:14">
      <c r="A49" s="2" t="str">
        <f t="shared" si="0"/>
        <v>QIFINE066A01013</v>
      </c>
      <c r="B49" s="230">
        <f t="shared" si="2"/>
        <v>32</v>
      </c>
      <c r="C49" s="196" t="str">
        <f>VLOOKUP(A49,Holding!A:AM,39,0)</f>
        <v>Eicher Motors Limited</v>
      </c>
      <c r="D49" s="127" t="s">
        <v>499</v>
      </c>
      <c r="E49" s="157" t="str">
        <f>VLOOKUP(A49,Holding!A:AL,38,0)</f>
        <v>Auto</v>
      </c>
      <c r="F49" s="158">
        <f>+VLOOKUP(A49,Holding!A:I,9,0)</f>
        <v>18</v>
      </c>
      <c r="G49" s="157">
        <f>+ROUND(+VLOOKUP(A49,Holding!A:R,18,0)/100000,2)</f>
        <v>4.1500000000000004</v>
      </c>
      <c r="H49" s="16">
        <f t="shared" si="1"/>
        <v>1.0019999999999999E-2</v>
      </c>
    </row>
    <row r="50" spans="1:14">
      <c r="A50" s="2" t="str">
        <f t="shared" ref="A50:A68" si="3">$A$14&amp;D50</f>
        <v>QIFINE081A01012</v>
      </c>
      <c r="B50" s="230">
        <f t="shared" si="2"/>
        <v>33</v>
      </c>
      <c r="C50" s="196" t="str">
        <f>VLOOKUP(A50,Holding!A:AM,39,0)</f>
        <v>Tata Steel Limited</v>
      </c>
      <c r="D50" s="127" t="s">
        <v>109</v>
      </c>
      <c r="E50" s="157" t="str">
        <f>VLOOKUP(A50,Holding!A:AL,38,0)</f>
        <v>Ferrous Metals</v>
      </c>
      <c r="F50" s="158">
        <f>+VLOOKUP(A50,Holding!A:I,9,0)</f>
        <v>880</v>
      </c>
      <c r="G50" s="157">
        <f>+ROUND(+VLOOKUP(A50,Holding!A:R,18,0)/100000,2)</f>
        <v>4.07</v>
      </c>
      <c r="H50" s="16">
        <f t="shared" si="1"/>
        <v>9.8300000000000002E-3</v>
      </c>
    </row>
    <row r="51" spans="1:14">
      <c r="A51" s="2" t="str">
        <f t="shared" si="3"/>
        <v>QIFINE075A01022</v>
      </c>
      <c r="B51" s="230">
        <f t="shared" si="2"/>
        <v>34</v>
      </c>
      <c r="C51" s="196" t="str">
        <f>VLOOKUP(A51,Holding!A:AM,39,0)</f>
        <v>Wipro Limited</v>
      </c>
      <c r="D51" s="127" t="s">
        <v>173</v>
      </c>
      <c r="E51" s="157" t="str">
        <f>VLOOKUP(A51,Holding!A:AL,38,0)</f>
        <v>Software</v>
      </c>
      <c r="F51" s="158">
        <f>+VLOOKUP(A51,Holding!A:I,9,0)</f>
        <v>843</v>
      </c>
      <c r="G51" s="157">
        <f>+ROUND(+VLOOKUP(A51,Holding!A:R,18,0)/100000,2)</f>
        <v>3.86</v>
      </c>
      <c r="H51" s="16">
        <f t="shared" si="1"/>
        <v>9.3200000000000002E-3</v>
      </c>
    </row>
    <row r="52" spans="1:14">
      <c r="A52" s="2" t="str">
        <f t="shared" si="3"/>
        <v>QIFINE047A01021</v>
      </c>
      <c r="B52" s="230">
        <f t="shared" si="2"/>
        <v>35</v>
      </c>
      <c r="C52" s="196" t="str">
        <f>VLOOKUP(A52,Holding!A:AM,39,0)</f>
        <v>Grasim Industries Limited</v>
      </c>
      <c r="D52" s="127" t="s">
        <v>576</v>
      </c>
      <c r="E52" s="157" t="str">
        <f>VLOOKUP(A52,Holding!A:AL,38,0)</f>
        <v>Cement</v>
      </c>
      <c r="F52" s="158">
        <f>+VLOOKUP(A52,Holding!A:I,9,0)</f>
        <v>423</v>
      </c>
      <c r="G52" s="157">
        <f>+ROUND(+VLOOKUP(A52,Holding!A:R,18,0)/100000,2)</f>
        <v>3.85</v>
      </c>
      <c r="H52" s="16">
        <f t="shared" si="1"/>
        <v>9.2999999999999992E-3</v>
      </c>
    </row>
    <row r="53" spans="1:14">
      <c r="A53" s="2" t="str">
        <f t="shared" si="3"/>
        <v>QIFINE059A01026</v>
      </c>
      <c r="B53" s="230">
        <f t="shared" si="2"/>
        <v>36</v>
      </c>
      <c r="C53" s="196" t="str">
        <f>VLOOKUP(A53,Holding!A:AM,39,0)</f>
        <v>Cipla Limited</v>
      </c>
      <c r="D53" s="127" t="s">
        <v>117</v>
      </c>
      <c r="E53" s="157" t="str">
        <f>VLOOKUP(A53,Holding!A:AL,38,0)</f>
        <v>Pharmaceuticals</v>
      </c>
      <c r="F53" s="158">
        <f>+VLOOKUP(A53,Holding!A:I,9,0)</f>
        <v>666</v>
      </c>
      <c r="G53" s="157">
        <f>+ROUND(+VLOOKUP(A53,Holding!A:R,18,0)/100000,2)</f>
        <v>3.83</v>
      </c>
      <c r="H53" s="16">
        <f t="shared" si="1"/>
        <v>9.2499999999999995E-3</v>
      </c>
    </row>
    <row r="54" spans="1:14">
      <c r="A54" s="2" t="str">
        <f t="shared" si="3"/>
        <v>QIFINE669C01036</v>
      </c>
      <c r="B54" s="230">
        <f t="shared" si="2"/>
        <v>37</v>
      </c>
      <c r="C54" s="196" t="str">
        <f>VLOOKUP(A54,Holding!A:AM,39,0)</f>
        <v>Tech Mahindra Limited</v>
      </c>
      <c r="D54" s="127" t="s">
        <v>215</v>
      </c>
      <c r="E54" s="157" t="str">
        <f>VLOOKUP(A54,Holding!A:AL,38,0)</f>
        <v>Software</v>
      </c>
      <c r="F54" s="158">
        <f>+VLOOKUP(A54,Holding!A:I,9,0)</f>
        <v>816</v>
      </c>
      <c r="G54" s="157">
        <f>+ROUND(+VLOOKUP(A54,Holding!A:R,18,0)/100000,2)</f>
        <v>3.69</v>
      </c>
      <c r="H54" s="16">
        <f t="shared" si="1"/>
        <v>8.9099999999999995E-3</v>
      </c>
    </row>
    <row r="55" spans="1:14">
      <c r="A55" s="2" t="str">
        <f t="shared" si="3"/>
        <v>QIFINE256A01028</v>
      </c>
      <c r="B55" s="230">
        <f t="shared" si="2"/>
        <v>38</v>
      </c>
      <c r="C55" s="196" t="str">
        <f>VLOOKUP(A55,Holding!A:AM,39,0)</f>
        <v>Zee Entertainment Enterprises Limited</v>
      </c>
      <c r="D55" s="127" t="s">
        <v>196</v>
      </c>
      <c r="E55" s="157" t="str">
        <f>VLOOKUP(A55,Holding!A:AL,38,0)</f>
        <v>Media &amp; Entertainment</v>
      </c>
      <c r="F55" s="158">
        <f>+VLOOKUP(A55,Holding!A:I,9,0)</f>
        <v>719</v>
      </c>
      <c r="G55" s="157">
        <f>+ROUND(+VLOOKUP(A55,Holding!A:R,18,0)/100000,2)</f>
        <v>3.52</v>
      </c>
      <c r="H55" s="16">
        <f t="shared" si="1"/>
        <v>8.5000000000000006E-3</v>
      </c>
    </row>
    <row r="56" spans="1:14">
      <c r="A56" s="2" t="str">
        <f t="shared" si="3"/>
        <v>QIFINE742F01042</v>
      </c>
      <c r="B56" s="230">
        <f t="shared" si="2"/>
        <v>39</v>
      </c>
      <c r="C56" s="196" t="str">
        <f>VLOOKUP(A56,Holding!A:AM,39,0)</f>
        <v>Adani Ports and Special Economic Zone Limited</v>
      </c>
      <c r="D56" s="127" t="s">
        <v>417</v>
      </c>
      <c r="E56" s="157" t="str">
        <f>VLOOKUP(A56,Holding!A:AL,38,0)</f>
        <v>Transportation</v>
      </c>
      <c r="F56" s="158">
        <f>+VLOOKUP(A56,Holding!A:I,9,0)</f>
        <v>1116</v>
      </c>
      <c r="G56" s="157">
        <f>+ROUND(+VLOOKUP(A56,Holding!A:R,18,0)/100000,2)</f>
        <v>3.27</v>
      </c>
      <c r="H56" s="16">
        <f t="shared" si="1"/>
        <v>7.9000000000000008E-3</v>
      </c>
    </row>
    <row r="57" spans="1:14">
      <c r="A57" s="2" t="str">
        <f t="shared" si="3"/>
        <v>QIFINE038A01020</v>
      </c>
      <c r="B57" s="230">
        <f t="shared" si="2"/>
        <v>40</v>
      </c>
      <c r="C57" s="196" t="str">
        <f>VLOOKUP(A57,Holding!A:AM,39,0)</f>
        <v>Hindalco Industries Limited</v>
      </c>
      <c r="D57" s="127" t="s">
        <v>124</v>
      </c>
      <c r="E57" s="157" t="str">
        <f>VLOOKUP(A57,Holding!A:AL,38,0)</f>
        <v>Non - Ferrous Metals</v>
      </c>
      <c r="F57" s="158">
        <f>+VLOOKUP(A57,Holding!A:I,9,0)</f>
        <v>1681</v>
      </c>
      <c r="G57" s="157">
        <f>+ROUND(+VLOOKUP(A57,Holding!A:R,18,0)/100000,2)</f>
        <v>3.19</v>
      </c>
      <c r="H57" s="16">
        <f t="shared" si="1"/>
        <v>7.7099999999999998E-3</v>
      </c>
      <c r="I57" s="24"/>
      <c r="J57" s="24"/>
      <c r="K57" s="24"/>
      <c r="L57" s="24"/>
      <c r="M57" s="24"/>
      <c r="N57" s="24"/>
    </row>
    <row r="58" spans="1:14">
      <c r="A58" s="2" t="str">
        <f t="shared" si="3"/>
        <v>QIFINE129A01019</v>
      </c>
      <c r="B58" s="230">
        <f t="shared" si="2"/>
        <v>41</v>
      </c>
      <c r="C58" s="196" t="str">
        <f>VLOOKUP(A58,Holding!A:AM,39,0)</f>
        <v>GAIL (India) Limited</v>
      </c>
      <c r="D58" s="127" t="s">
        <v>122</v>
      </c>
      <c r="E58" s="157" t="str">
        <f>VLOOKUP(A58,Holding!A:AL,38,0)</f>
        <v>Gas</v>
      </c>
      <c r="F58" s="158">
        <f>+VLOOKUP(A58,Holding!A:I,9,0)</f>
        <v>616</v>
      </c>
      <c r="G58" s="157">
        <f>+ROUND(+VLOOKUP(A58,Holding!A:R,18,0)/100000,2)</f>
        <v>2.88</v>
      </c>
      <c r="H58" s="16">
        <f t="shared" si="1"/>
        <v>6.96E-3</v>
      </c>
    </row>
    <row r="59" spans="1:14">
      <c r="A59" s="2" t="str">
        <f t="shared" si="3"/>
        <v>QIFINE323A01026</v>
      </c>
      <c r="B59" s="230">
        <f t="shared" si="2"/>
        <v>42</v>
      </c>
      <c r="C59" s="196" t="str">
        <f>VLOOKUP(A59,Holding!A:AM,39,0)</f>
        <v>Bosch Limited</v>
      </c>
      <c r="D59" s="127" t="s">
        <v>223</v>
      </c>
      <c r="E59" s="157" t="str">
        <f>VLOOKUP(A59,Holding!A:AL,38,0)</f>
        <v>Auto Ancillaries</v>
      </c>
      <c r="F59" s="158">
        <f>+VLOOKUP(A59,Holding!A:I,9,0)</f>
        <v>12</v>
      </c>
      <c r="G59" s="157">
        <f>+ROUND(+VLOOKUP(A59,Holding!A:R,18,0)/100000,2)</f>
        <v>2.66</v>
      </c>
      <c r="H59" s="16">
        <f t="shared" si="1"/>
        <v>6.4200000000000004E-3</v>
      </c>
    </row>
    <row r="60" spans="1:14">
      <c r="A60" s="2" t="str">
        <f t="shared" si="3"/>
        <v>QIFINE406A01037</v>
      </c>
      <c r="B60" s="230">
        <f t="shared" si="2"/>
        <v>43</v>
      </c>
      <c r="C60" s="196" t="str">
        <f>VLOOKUP(A60,Holding!A:AM,39,0)</f>
        <v>Aurobindo Pharma Limited</v>
      </c>
      <c r="D60" s="127" t="s">
        <v>492</v>
      </c>
      <c r="E60" s="157" t="str">
        <f>VLOOKUP(A60,Holding!A:AL,38,0)</f>
        <v>Pharmaceuticals</v>
      </c>
      <c r="F60" s="158">
        <f>+VLOOKUP(A60,Holding!A:I,9,0)</f>
        <v>352</v>
      </c>
      <c r="G60" s="157">
        <f>+ROUND(+VLOOKUP(A60,Holding!A:R,18,0)/100000,2)</f>
        <v>2.4</v>
      </c>
      <c r="H60" s="16">
        <f t="shared" si="1"/>
        <v>5.7999999999999996E-3</v>
      </c>
    </row>
    <row r="61" spans="1:14">
      <c r="A61" s="2" t="str">
        <f t="shared" si="3"/>
        <v>QIFINE079A01024</v>
      </c>
      <c r="B61" s="230">
        <f t="shared" si="2"/>
        <v>44</v>
      </c>
      <c r="C61" s="196" t="str">
        <f>VLOOKUP(A61,Holding!A:AM,39,0)</f>
        <v>Ambuja Cements Limited</v>
      </c>
      <c r="D61" s="127" t="s">
        <v>125</v>
      </c>
      <c r="E61" s="157" t="str">
        <f>VLOOKUP(A61,Holding!A:AL,38,0)</f>
        <v>Cement</v>
      </c>
      <c r="F61" s="158">
        <f>+VLOOKUP(A61,Holding!A:I,9,0)</f>
        <v>1019</v>
      </c>
      <c r="G61" s="157">
        <f>+ROUND(+VLOOKUP(A61,Holding!A:R,18,0)/100000,2)</f>
        <v>2.33</v>
      </c>
      <c r="H61" s="16">
        <f t="shared" si="1"/>
        <v>5.6299999999999996E-3</v>
      </c>
    </row>
    <row r="62" spans="1:14">
      <c r="A62" s="2" t="str">
        <f t="shared" si="3"/>
        <v>QIFIN9155A01020</v>
      </c>
      <c r="B62" s="230">
        <f t="shared" si="2"/>
        <v>45</v>
      </c>
      <c r="C62" s="196" t="str">
        <f>VLOOKUP(A62,Holding!A:AM,39,0)</f>
        <v>Tata Motors Limited</v>
      </c>
      <c r="D62" s="127" t="s">
        <v>502</v>
      </c>
      <c r="E62" s="157" t="str">
        <f>VLOOKUP(A62,Holding!A:AL,38,0)</f>
        <v>Auto</v>
      </c>
      <c r="F62" s="158">
        <f>+VLOOKUP(A62,Holding!A:I,9,0)</f>
        <v>657</v>
      </c>
      <c r="G62" s="157">
        <f>+ROUND(+VLOOKUP(A62,Holding!A:R,18,0)/100000,2)</f>
        <v>2.19</v>
      </c>
      <c r="H62" s="16">
        <f t="shared" si="1"/>
        <v>5.2900000000000004E-3</v>
      </c>
    </row>
    <row r="63" spans="1:14">
      <c r="A63" s="2" t="str">
        <f t="shared" si="3"/>
        <v>QIFINE028A01039</v>
      </c>
      <c r="B63" s="230">
        <f t="shared" si="2"/>
        <v>46</v>
      </c>
      <c r="C63" s="196" t="str">
        <f>VLOOKUP(A63,Holding!A:AM,39,0)</f>
        <v>Bank of Baroda</v>
      </c>
      <c r="D63" s="127" t="s">
        <v>209</v>
      </c>
      <c r="E63" s="157" t="str">
        <f>VLOOKUP(A63,Holding!A:AL,38,0)</f>
        <v>Banks</v>
      </c>
      <c r="F63" s="158">
        <f>+VLOOKUP(A63,Holding!A:I,9,0)</f>
        <v>1240</v>
      </c>
      <c r="G63" s="157">
        <f>+ROUND(+VLOOKUP(A63,Holding!A:R,18,0)/100000,2)</f>
        <v>2.0499999999999998</v>
      </c>
      <c r="H63" s="16">
        <f t="shared" si="1"/>
        <v>4.9500000000000004E-3</v>
      </c>
    </row>
    <row r="64" spans="1:14">
      <c r="A64" s="2" t="str">
        <f t="shared" si="3"/>
        <v>QIFINE121J01017</v>
      </c>
      <c r="B64" s="230">
        <f t="shared" si="2"/>
        <v>47</v>
      </c>
      <c r="C64" s="196" t="str">
        <f>VLOOKUP(A64,Holding!A:AM,39,0)</f>
        <v>Bharti Infratel Limited</v>
      </c>
      <c r="D64" s="127" t="s">
        <v>495</v>
      </c>
      <c r="E64" s="157" t="str">
        <f>VLOOKUP(A64,Holding!A:AL,38,0)</f>
        <v>Telecom -  Equipment &amp; Accessories</v>
      </c>
      <c r="F64" s="158">
        <f>+VLOOKUP(A64,Holding!A:I,9,0)</f>
        <v>695</v>
      </c>
      <c r="G64" s="157">
        <f>+ROUND(+VLOOKUP(A64,Holding!A:R,18,0)/100000,2)</f>
        <v>2.04</v>
      </c>
      <c r="H64" s="16">
        <f t="shared" si="1"/>
        <v>4.9300000000000004E-3</v>
      </c>
    </row>
    <row r="65" spans="1:8">
      <c r="A65" s="2" t="str">
        <f t="shared" si="3"/>
        <v>QIFINE245A01021</v>
      </c>
      <c r="B65" s="230">
        <f t="shared" si="2"/>
        <v>48</v>
      </c>
      <c r="C65" s="196" t="str">
        <f>VLOOKUP(A65,Holding!A:AM,39,0)</f>
        <v>Tata Power Company Limited</v>
      </c>
      <c r="D65" s="127" t="s">
        <v>121</v>
      </c>
      <c r="E65" s="157" t="str">
        <f>VLOOKUP(A65,Holding!A:AL,38,0)</f>
        <v>Power</v>
      </c>
      <c r="F65" s="158">
        <f>+VLOOKUP(A65,Holding!A:I,9,0)</f>
        <v>2381</v>
      </c>
      <c r="G65" s="157">
        <f>+ROUND(+VLOOKUP(A65,Holding!A:R,18,0)/100000,2)</f>
        <v>1.9</v>
      </c>
      <c r="H65" s="16">
        <f t="shared" si="1"/>
        <v>4.5900000000000003E-3</v>
      </c>
    </row>
    <row r="66" spans="1:8">
      <c r="A66" s="2" t="str">
        <f t="shared" si="3"/>
        <v>QIFINE669E01016</v>
      </c>
      <c r="B66" s="230">
        <f t="shared" si="2"/>
        <v>49</v>
      </c>
      <c r="C66" s="196" t="str">
        <f>VLOOKUP(A66,Holding!A:AM,39,0)</f>
        <v>Idea Cellular Limited</v>
      </c>
      <c r="D66" s="127" t="s">
        <v>214</v>
      </c>
      <c r="E66" s="157" t="str">
        <f>VLOOKUP(A66,Holding!A:AL,38,0)</f>
        <v>Telecom - Services</v>
      </c>
      <c r="F66" s="158">
        <f>+VLOOKUP(A66,Holding!A:I,9,0)</f>
        <v>1628</v>
      </c>
      <c r="G66" s="157">
        <f>+ROUND(+VLOOKUP(A66,Holding!A:R,18,0)/100000,2)</f>
        <v>1.79</v>
      </c>
      <c r="H66" s="16">
        <f t="shared" si="1"/>
        <v>4.3200000000000001E-3</v>
      </c>
    </row>
    <row r="67" spans="1:8">
      <c r="A67" s="2" t="str">
        <f t="shared" si="3"/>
        <v>QIFINE012A01025</v>
      </c>
      <c r="B67" s="230">
        <f t="shared" si="2"/>
        <v>50</v>
      </c>
      <c r="C67" s="196" t="str">
        <f>VLOOKUP(A67,Holding!A:AM,39,0)</f>
        <v>ACC Limited</v>
      </c>
      <c r="D67" s="127" t="s">
        <v>128</v>
      </c>
      <c r="E67" s="157" t="str">
        <f>VLOOKUP(A67,Holding!A:AL,38,0)</f>
        <v>Cement</v>
      </c>
      <c r="F67" s="158">
        <f>+VLOOKUP(A67,Holding!A:I,9,0)</f>
        <v>123</v>
      </c>
      <c r="G67" s="157">
        <f>+ROUND(+VLOOKUP(A67,Holding!A:R,18,0)/100000,2)</f>
        <v>1.74</v>
      </c>
      <c r="H67" s="16">
        <f t="shared" si="1"/>
        <v>4.1999999999999997E-3</v>
      </c>
    </row>
    <row r="68" spans="1:8">
      <c r="A68" s="2" t="str">
        <f t="shared" si="3"/>
        <v>QIFINE257A01026</v>
      </c>
      <c r="B68" s="230">
        <f t="shared" si="2"/>
        <v>51</v>
      </c>
      <c r="C68" s="196" t="str">
        <f>VLOOKUP(A68,Holding!A:AM,39,0)</f>
        <v>Bharat Heavy Electricals Limited</v>
      </c>
      <c r="D68" s="127" t="s">
        <v>116</v>
      </c>
      <c r="E68" s="157" t="str">
        <f>VLOOKUP(A68,Holding!A:AL,38,0)</f>
        <v>Industrial Capital Goods</v>
      </c>
      <c r="F68" s="158">
        <f>+VLOOKUP(A68,Holding!A:I,9,0)</f>
        <v>1189</v>
      </c>
      <c r="G68" s="157">
        <f>+ROUND(+VLOOKUP(A68,Holding!A:R,18,0)/100000,2)</f>
        <v>1.63</v>
      </c>
      <c r="H68" s="16">
        <f t="shared" si="1"/>
        <v>3.9399999999999999E-3</v>
      </c>
    </row>
    <row r="69" spans="1:8">
      <c r="B69" s="230"/>
      <c r="C69" s="196"/>
      <c r="D69" s="127"/>
      <c r="E69" s="157"/>
      <c r="F69" s="158"/>
      <c r="G69" s="157"/>
      <c r="H69" s="16"/>
    </row>
    <row r="70" spans="1:8">
      <c r="B70" s="230"/>
      <c r="C70" s="14"/>
      <c r="D70" s="14"/>
      <c r="E70" s="15"/>
      <c r="F70" s="15"/>
      <c r="G70" s="15"/>
      <c r="H70" s="16"/>
    </row>
    <row r="71" spans="1:8">
      <c r="B71" s="230" t="s">
        <v>10</v>
      </c>
      <c r="C71" s="21" t="s">
        <v>39</v>
      </c>
      <c r="D71" s="21"/>
      <c r="E71" s="110"/>
      <c r="F71" s="68" t="s">
        <v>9</v>
      </c>
      <c r="G71" s="68" t="s">
        <v>9</v>
      </c>
      <c r="H71" s="197" t="s">
        <v>9</v>
      </c>
    </row>
    <row r="72" spans="1:8">
      <c r="B72" s="230"/>
      <c r="C72" s="14"/>
      <c r="D72" s="14"/>
      <c r="E72" s="15"/>
      <c r="F72" s="15"/>
      <c r="G72" s="15"/>
      <c r="H72" s="61"/>
    </row>
    <row r="73" spans="1:8" s="24" customFormat="1">
      <c r="B73" s="246"/>
      <c r="C73" s="21" t="s">
        <v>51</v>
      </c>
      <c r="D73" s="21"/>
      <c r="E73" s="15"/>
      <c r="F73" s="54"/>
      <c r="G73" s="54">
        <f>SUM(G18:G72)</f>
        <v>413.94000000000005</v>
      </c>
      <c r="H73" s="59">
        <f>SUM(H18:H71)</f>
        <v>0.99982999999999989</v>
      </c>
    </row>
    <row r="74" spans="1:8" s="24" customFormat="1">
      <c r="B74" s="246"/>
      <c r="C74" s="9"/>
      <c r="D74" s="9"/>
      <c r="E74" s="15"/>
      <c r="F74" s="54"/>
      <c r="G74" s="54"/>
      <c r="H74" s="59"/>
    </row>
    <row r="75" spans="1:8" s="24" customFormat="1">
      <c r="B75" s="246"/>
      <c r="C75" s="21" t="s">
        <v>56</v>
      </c>
      <c r="D75" s="21"/>
      <c r="E75" s="15"/>
      <c r="F75" s="54"/>
      <c r="G75" s="54"/>
      <c r="H75" s="59"/>
    </row>
    <row r="76" spans="1:8" s="24" customFormat="1">
      <c r="B76" s="246"/>
      <c r="C76" s="9"/>
      <c r="D76" s="9"/>
      <c r="E76" s="15"/>
      <c r="F76" s="15"/>
      <c r="G76" s="15"/>
      <c r="H76" s="16"/>
    </row>
    <row r="77" spans="1:8" s="24" customFormat="1">
      <c r="B77" s="245" t="s">
        <v>7</v>
      </c>
      <c r="C77" s="21" t="s">
        <v>8</v>
      </c>
      <c r="D77" s="21"/>
      <c r="E77" s="15"/>
      <c r="F77" s="202" t="s">
        <v>9</v>
      </c>
      <c r="G77" s="202" t="s">
        <v>9</v>
      </c>
      <c r="H77" s="203" t="s">
        <v>9</v>
      </c>
    </row>
    <row r="78" spans="1:8" s="24" customFormat="1">
      <c r="B78" s="245" t="s">
        <v>10</v>
      </c>
      <c r="C78" s="9" t="s">
        <v>11</v>
      </c>
      <c r="D78" s="9"/>
      <c r="E78" s="15"/>
      <c r="F78" s="202" t="s">
        <v>9</v>
      </c>
      <c r="G78" s="202" t="s">
        <v>9</v>
      </c>
      <c r="H78" s="203" t="s">
        <v>9</v>
      </c>
    </row>
    <row r="79" spans="1:8" s="24" customFormat="1">
      <c r="B79" s="245" t="s">
        <v>12</v>
      </c>
      <c r="C79" s="9" t="s">
        <v>13</v>
      </c>
      <c r="D79" s="9"/>
      <c r="E79" s="15"/>
      <c r="F79" s="202" t="s">
        <v>9</v>
      </c>
      <c r="G79" s="202" t="s">
        <v>9</v>
      </c>
      <c r="H79" s="203" t="s">
        <v>9</v>
      </c>
    </row>
    <row r="80" spans="1:8" s="24" customFormat="1">
      <c r="B80" s="245"/>
      <c r="C80" s="9" t="s">
        <v>86</v>
      </c>
      <c r="D80" s="9"/>
      <c r="E80" s="15"/>
      <c r="F80" s="68"/>
      <c r="G80" s="68" t="s">
        <v>9</v>
      </c>
      <c r="H80" s="69" t="s">
        <v>9</v>
      </c>
    </row>
    <row r="81" spans="1:8" s="24" customFormat="1">
      <c r="B81" s="245"/>
      <c r="C81" s="9"/>
      <c r="D81" s="9"/>
      <c r="E81" s="15"/>
      <c r="F81" s="68"/>
      <c r="G81" s="68"/>
      <c r="H81" s="69"/>
    </row>
    <row r="82" spans="1:8" s="24" customFormat="1">
      <c r="B82" s="245"/>
      <c r="C82" s="9" t="s">
        <v>57</v>
      </c>
      <c r="D82" s="9"/>
      <c r="E82" s="15"/>
      <c r="F82" s="68"/>
      <c r="G82" s="68" t="s">
        <v>9</v>
      </c>
      <c r="H82" s="69" t="s">
        <v>9</v>
      </c>
    </row>
    <row r="83" spans="1:8" s="24" customFormat="1">
      <c r="B83" s="245"/>
      <c r="C83" s="9"/>
      <c r="D83" s="9"/>
      <c r="E83" s="15"/>
      <c r="F83" s="68"/>
      <c r="G83" s="68"/>
      <c r="H83" s="69"/>
    </row>
    <row r="84" spans="1:8" s="24" customFormat="1">
      <c r="A84" s="24" t="s">
        <v>605</v>
      </c>
      <c r="B84" s="245"/>
      <c r="C84" s="10" t="s">
        <v>82</v>
      </c>
      <c r="D84" s="9"/>
      <c r="E84" s="15"/>
      <c r="F84" s="68"/>
      <c r="G84" s="68" t="s">
        <v>9</v>
      </c>
      <c r="H84" s="69" t="s">
        <v>9</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569</v>
      </c>
      <c r="D87" s="10"/>
      <c r="E87" s="15"/>
      <c r="F87" s="15"/>
      <c r="G87" s="15">
        <f>G89-G73</f>
        <v>6.9999999999936335E-2</v>
      </c>
      <c r="H87" s="16">
        <f>+H89-H73</f>
        <v>1.700000000001145E-4</v>
      </c>
    </row>
    <row r="88" spans="1:8">
      <c r="B88" s="46"/>
      <c r="C88" s="21"/>
      <c r="D88" s="21"/>
      <c r="E88" s="15"/>
      <c r="F88" s="15"/>
      <c r="G88" s="21"/>
      <c r="H88" s="70"/>
    </row>
    <row r="89" spans="1:8">
      <c r="A89" s="24" t="s">
        <v>356</v>
      </c>
      <c r="B89" s="46"/>
      <c r="C89" s="21" t="s">
        <v>14</v>
      </c>
      <c r="D89" s="21"/>
      <c r="E89" s="15"/>
      <c r="F89" s="54"/>
      <c r="G89" s="168">
        <f>+ROUND(+VLOOKUP(A89,Holding!A:R,18,0)/100000,2)</f>
        <v>414.01</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tr">
        <f>"Total Non performing Assets provided for and its percentage to NAV as on "&amp;TEXT(Index!C23,"mmmmmmmmmm dd, yyyy")&amp;" - NIL"</f>
        <v>Total Non performing Assets provided for and its percentage to NAV as on January 31, 2017 - NIL</v>
      </c>
      <c r="D93" s="62"/>
      <c r="E93" s="62"/>
      <c r="F93" s="62"/>
      <c r="G93" s="85"/>
      <c r="H93" s="77"/>
    </row>
    <row r="94" spans="1:8">
      <c r="B94" s="33" t="s">
        <v>17</v>
      </c>
      <c r="C94" s="4" t="s">
        <v>186</v>
      </c>
      <c r="D94" s="62"/>
      <c r="E94" s="62"/>
      <c r="F94" s="62"/>
      <c r="G94" s="85"/>
      <c r="H94" s="77"/>
    </row>
    <row r="95" spans="1:8">
      <c r="B95" s="33" t="s">
        <v>18</v>
      </c>
      <c r="C95" s="4" t="s">
        <v>19</v>
      </c>
      <c r="D95" s="62"/>
      <c r="E95" s="279"/>
      <c r="F95" s="279"/>
      <c r="G95" s="140"/>
      <c r="H95" s="141"/>
    </row>
    <row r="96" spans="1:8" ht="25.5">
      <c r="B96" s="33"/>
      <c r="C96" s="348" t="s">
        <v>20</v>
      </c>
      <c r="D96" s="345" t="str">
        <f>"As on "&amp;TEXT(Index!C24,"mmmmmmmmmm dd, yyyy")&amp;" (Rs.)"</f>
        <v>As on January 31, 2017 (Rs.)</v>
      </c>
      <c r="E96" s="279"/>
      <c r="F96" s="140"/>
      <c r="G96" s="140"/>
      <c r="H96" s="138"/>
    </row>
    <row r="97" spans="1:14">
      <c r="A97" s="2" t="s">
        <v>273</v>
      </c>
      <c r="B97" s="33"/>
      <c r="C97" s="349" t="s">
        <v>21</v>
      </c>
      <c r="D97" s="347">
        <f>+VLOOKUP(A97,Bloomberg!C:E,3,0)</f>
        <v>917.04849999999999</v>
      </c>
      <c r="E97" s="279"/>
      <c r="F97" s="140"/>
      <c r="G97" s="140"/>
      <c r="H97" s="138"/>
    </row>
    <row r="98" spans="1:14">
      <c r="B98" s="34" t="s">
        <v>23</v>
      </c>
      <c r="C98" s="109" t="str">
        <f>"Dividend / Bonus declared during the period ended "&amp;TEXT(Index!C23,"mmmmmmmmmm dd, yyyy")&amp;" - NIL"</f>
        <v>Dividend / Bonus declared during the period ended January 31, 2017 - NIL</v>
      </c>
      <c r="D98" s="285"/>
      <c r="E98" s="285"/>
      <c r="F98" s="279"/>
      <c r="G98" s="140"/>
      <c r="H98" s="141"/>
      <c r="N98" s="404"/>
    </row>
    <row r="99" spans="1:14" ht="15" customHeight="1">
      <c r="B99" s="33" t="s">
        <v>24</v>
      </c>
      <c r="C99" s="109" t="str">
        <f>"Total outstanding exposure in derivative instruments as on "&amp;TEXT(Index!C23,"mmmmmmmmmm dd, yyyy")&amp;" - NIL"</f>
        <v>Total outstanding exposure in derivative instruments as on January 31, 2017 - NIL</v>
      </c>
      <c r="D99" s="279"/>
      <c r="E99" s="279"/>
      <c r="F99" s="279"/>
      <c r="G99" s="279"/>
      <c r="H99" s="141"/>
      <c r="L99" s="403"/>
      <c r="N99" s="404"/>
    </row>
    <row r="100" spans="1:14" ht="15" customHeight="1">
      <c r="B100" s="33" t="s">
        <v>25</v>
      </c>
      <c r="C100" s="480"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100" s="480"/>
      <c r="E100" s="480"/>
      <c r="F100" s="480"/>
      <c r="G100" s="480"/>
      <c r="H100" s="481"/>
    </row>
    <row r="101" spans="1:14" ht="15" customHeight="1">
      <c r="B101" s="33" t="s">
        <v>26</v>
      </c>
      <c r="C101" s="109" t="s">
        <v>187</v>
      </c>
      <c r="D101" s="286"/>
      <c r="E101" s="286"/>
      <c r="F101" s="286"/>
      <c r="G101" s="286"/>
      <c r="H101" s="141"/>
    </row>
    <row r="102" spans="1:14" ht="15" customHeight="1">
      <c r="B102" s="33" t="s">
        <v>27</v>
      </c>
      <c r="C102" s="1" t="s">
        <v>618</v>
      </c>
      <c r="D102" s="286"/>
      <c r="E102" s="286"/>
      <c r="F102" s="286"/>
      <c r="G102" s="286"/>
      <c r="H102" s="141"/>
    </row>
    <row r="103" spans="1:14" ht="15" customHeight="1">
      <c r="B103" s="33" t="s">
        <v>37</v>
      </c>
      <c r="C103" s="109" t="s">
        <v>188</v>
      </c>
      <c r="D103" s="286"/>
      <c r="E103" s="286"/>
      <c r="F103" s="286"/>
      <c r="G103" s="286"/>
      <c r="H103" s="141"/>
    </row>
    <row r="104" spans="1:14" ht="15" customHeight="1">
      <c r="B104" s="33" t="s">
        <v>53</v>
      </c>
      <c r="C104" s="109" t="s">
        <v>189</v>
      </c>
      <c r="D104" s="286"/>
      <c r="E104" s="286"/>
      <c r="F104" s="286"/>
      <c r="G104" s="286"/>
      <c r="H104" s="141"/>
    </row>
    <row r="105" spans="1:14" ht="15" customHeight="1">
      <c r="B105" s="33" t="s">
        <v>54</v>
      </c>
      <c r="C105" s="1" t="str">
        <f>"Total Brokerage Paid for Buying/ Selling of Investment for the month ended "&amp;TEXT(Index!C23,"mmmmmmmmmm dd, yyyy")&amp;" is 6.28."</f>
        <v>Total Brokerage Paid for Buying/ Selling of Investment for the month ended January 31, 2017 is 6.28.</v>
      </c>
      <c r="D105" s="286"/>
      <c r="E105" s="286"/>
      <c r="F105" s="286"/>
      <c r="G105" s="286"/>
      <c r="H105" s="141"/>
    </row>
    <row r="106" spans="1:14">
      <c r="B106" s="33"/>
      <c r="C106" s="109"/>
      <c r="D106" s="286"/>
      <c r="E106" s="286"/>
      <c r="F106" s="286"/>
      <c r="G106" s="286"/>
      <c r="H106" s="141"/>
    </row>
    <row r="107" spans="1:14">
      <c r="B107" s="80" t="s">
        <v>28</v>
      </c>
      <c r="C107" s="109" t="s">
        <v>29</v>
      </c>
      <c r="D107" s="286"/>
      <c r="E107" s="286"/>
      <c r="F107" s="286"/>
      <c r="G107" s="286"/>
      <c r="H107" s="141"/>
    </row>
    <row r="108" spans="1:14">
      <c r="B108" s="188" t="s">
        <v>47</v>
      </c>
      <c r="C108" s="4" t="s">
        <v>48</v>
      </c>
      <c r="D108" s="79"/>
      <c r="E108" s="79"/>
      <c r="F108" s="79"/>
      <c r="G108" s="79"/>
      <c r="H108" s="77"/>
    </row>
    <row r="109" spans="1:14" ht="13.5" thickBot="1">
      <c r="B109" s="36" t="s">
        <v>40</v>
      </c>
      <c r="C109" s="37" t="s">
        <v>41</v>
      </c>
      <c r="D109" s="384"/>
      <c r="E109" s="384"/>
      <c r="F109" s="384"/>
      <c r="G109" s="384"/>
      <c r="H109" s="385"/>
    </row>
    <row r="110" spans="1:14">
      <c r="E110" s="81"/>
      <c r="F110" s="81"/>
      <c r="G110" s="81"/>
      <c r="H110" s="81"/>
    </row>
    <row r="111" spans="1:14">
      <c r="E111" s="81"/>
      <c r="F111" s="81"/>
      <c r="G111" s="81"/>
      <c r="H111" s="81"/>
    </row>
    <row r="112" spans="1:14">
      <c r="F112" s="81"/>
      <c r="G112" s="81"/>
      <c r="H112" s="81"/>
    </row>
    <row r="113" spans="5:8">
      <c r="E113" s="81"/>
      <c r="F113" s="81"/>
      <c r="G113" s="81"/>
      <c r="H113" s="81"/>
    </row>
    <row r="114" spans="5:8">
      <c r="E114" s="81"/>
      <c r="F114" s="81"/>
      <c r="G114" s="81"/>
      <c r="H114" s="81"/>
    </row>
    <row r="115" spans="5:8">
      <c r="E115" s="81"/>
      <c r="F115" s="81"/>
      <c r="G115" s="81"/>
      <c r="H115" s="81"/>
    </row>
    <row r="116" spans="5:8">
      <c r="E116" s="81"/>
      <c r="F116" s="81"/>
      <c r="G116" s="81"/>
      <c r="H116" s="81"/>
    </row>
    <row r="117" spans="5:8">
      <c r="G117" s="2"/>
    </row>
    <row r="118" spans="5:8">
      <c r="G118" s="2"/>
    </row>
    <row r="119" spans="5:8">
      <c r="G119" s="2"/>
    </row>
    <row r="120" spans="5:8">
      <c r="G120" s="2"/>
    </row>
  </sheetData>
  <sortState ref="C18:H68">
    <sortCondition descending="1" ref="H18:H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B10" zoomScale="90" zoomScaleNormal="90" workbookViewId="0">
      <selection activeCell="I22" sqref="I21:I22"/>
    </sheetView>
  </sheetViews>
  <sheetFormatPr defaultColWidth="9.140625" defaultRowHeight="12.75"/>
  <cols>
    <col min="1" max="1" width="14.85546875" style="2" hidden="1" customWidth="1"/>
    <col min="2" max="2" width="6.28515625" style="255"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c r="B1" s="441" t="s">
        <v>0</v>
      </c>
      <c r="C1" s="442"/>
      <c r="D1" s="442"/>
      <c r="E1" s="442"/>
      <c r="F1" s="442"/>
      <c r="G1" s="442"/>
      <c r="H1" s="443"/>
    </row>
    <row r="2" spans="1:8">
      <c r="B2" s="188"/>
      <c r="C2" s="4"/>
      <c r="D2" s="4"/>
      <c r="E2" s="4"/>
      <c r="F2" s="4"/>
      <c r="G2" s="62"/>
      <c r="H2" s="41"/>
    </row>
    <row r="3" spans="1:8">
      <c r="B3" s="444" t="s">
        <v>1</v>
      </c>
      <c r="C3" s="445"/>
      <c r="D3" s="445"/>
      <c r="E3" s="445"/>
      <c r="F3" s="445"/>
      <c r="G3" s="445"/>
      <c r="H3" s="446"/>
    </row>
    <row r="4" spans="1:8">
      <c r="B4" s="444" t="s">
        <v>2</v>
      </c>
      <c r="C4" s="445"/>
      <c r="D4" s="445"/>
      <c r="E4" s="445"/>
      <c r="F4" s="445"/>
      <c r="G4" s="445"/>
      <c r="H4" s="446"/>
    </row>
    <row r="5" spans="1:8">
      <c r="B5" s="447" t="s">
        <v>141</v>
      </c>
      <c r="C5" s="448"/>
      <c r="D5" s="448"/>
      <c r="E5" s="448"/>
      <c r="F5" s="448"/>
      <c r="G5" s="448"/>
      <c r="H5" s="449"/>
    </row>
    <row r="6" spans="1:8" ht="17.25" customHeight="1">
      <c r="B6" s="447"/>
      <c r="C6" s="448"/>
      <c r="D6" s="448"/>
      <c r="E6" s="448"/>
      <c r="F6" s="448"/>
      <c r="G6" s="448"/>
      <c r="H6" s="449"/>
    </row>
    <row r="7" spans="1:8">
      <c r="B7" s="188"/>
      <c r="C7" s="4"/>
      <c r="D7" s="4"/>
      <c r="E7" s="4"/>
      <c r="F7" s="4"/>
      <c r="G7" s="62"/>
      <c r="H7" s="41"/>
    </row>
    <row r="8" spans="1:8">
      <c r="B8" s="444" t="s">
        <v>146</v>
      </c>
      <c r="C8" s="445"/>
      <c r="D8" s="445"/>
      <c r="E8" s="445"/>
      <c r="F8" s="445"/>
      <c r="G8" s="445"/>
      <c r="H8" s="446"/>
    </row>
    <row r="9" spans="1:8">
      <c r="B9" s="188"/>
      <c r="C9" s="4"/>
      <c r="D9" s="4"/>
      <c r="E9" s="4"/>
      <c r="F9" s="4"/>
      <c r="G9" s="62"/>
      <c r="H9" s="41"/>
    </row>
    <row r="10" spans="1:8">
      <c r="B10" s="444" t="str">
        <f>"Monthly Portfolio Statement of the Quantum Tax Saving Fund for the period ended "&amp;TEXT(Index!C23,"mmmmmmmmmm dd, yyyy")</f>
        <v>Monthly Portfolio Statement of the Quantum Tax Saving Fund for the period ended January 31, 2017</v>
      </c>
      <c r="C10" s="445"/>
      <c r="D10" s="445"/>
      <c r="E10" s="445"/>
      <c r="F10" s="445"/>
      <c r="G10" s="445"/>
      <c r="H10" s="446"/>
    </row>
    <row r="11" spans="1:8" ht="13.5" thickBot="1">
      <c r="B11" s="248"/>
      <c r="C11" s="37"/>
      <c r="D11" s="37"/>
      <c r="E11" s="37"/>
      <c r="F11" s="37"/>
      <c r="G11" s="67"/>
      <c r="H11" s="65"/>
    </row>
    <row r="12" spans="1:8" s="229" customFormat="1" ht="38.25" customHeight="1">
      <c r="B12" s="249" t="s">
        <v>3</v>
      </c>
      <c r="C12" s="231" t="s">
        <v>4</v>
      </c>
      <c r="D12" s="232" t="s">
        <v>97</v>
      </c>
      <c r="E12" s="231" t="s">
        <v>38</v>
      </c>
      <c r="F12" s="231" t="s">
        <v>5</v>
      </c>
      <c r="G12" s="173" t="s">
        <v>147</v>
      </c>
      <c r="H12" s="233" t="s">
        <v>6</v>
      </c>
    </row>
    <row r="13" spans="1:8">
      <c r="B13" s="230"/>
      <c r="C13" s="21"/>
      <c r="D13" s="127"/>
      <c r="E13" s="21"/>
      <c r="F13" s="14"/>
      <c r="G13" s="14"/>
      <c r="H13" s="61"/>
    </row>
    <row r="14" spans="1:8">
      <c r="A14" s="2" t="s">
        <v>160</v>
      </c>
      <c r="B14" s="230"/>
      <c r="C14" s="21" t="s">
        <v>58</v>
      </c>
      <c r="D14" s="127"/>
      <c r="E14" s="21"/>
      <c r="F14" s="14"/>
      <c r="G14" s="14"/>
      <c r="H14" s="61"/>
    </row>
    <row r="15" spans="1:8">
      <c r="B15" s="230"/>
      <c r="C15" s="49"/>
      <c r="D15" s="127"/>
      <c r="E15" s="49"/>
      <c r="F15" s="15"/>
      <c r="G15" s="14"/>
      <c r="H15" s="61"/>
    </row>
    <row r="16" spans="1:8">
      <c r="B16" s="230" t="s">
        <v>7</v>
      </c>
      <c r="C16" s="21" t="s">
        <v>8</v>
      </c>
      <c r="D16" s="127"/>
      <c r="E16" s="54"/>
      <c r="F16" s="15"/>
      <c r="G16" s="14"/>
      <c r="H16" s="61"/>
    </row>
    <row r="17" spans="1:9">
      <c r="B17" s="230"/>
      <c r="C17" s="21"/>
      <c r="D17" s="127"/>
      <c r="E17" s="54"/>
      <c r="F17" s="15"/>
      <c r="G17" s="14"/>
      <c r="H17" s="61"/>
    </row>
    <row r="18" spans="1:9">
      <c r="A18" s="2" t="str">
        <f t="shared" ref="A18:A41" si="0">$A$14&amp;D18</f>
        <v>QTSFINE917I01010</v>
      </c>
      <c r="B18" s="230">
        <f t="shared" ref="B18:B41" si="1">+B17+1</f>
        <v>1</v>
      </c>
      <c r="C18" s="196" t="str">
        <f>VLOOKUP(A18,Holding!A:AM,39,0)&amp;"*"</f>
        <v>Bajaj Auto Limited*</v>
      </c>
      <c r="D18" s="127" t="s">
        <v>111</v>
      </c>
      <c r="E18" s="157" t="str">
        <f>VLOOKUP(A18,Holding!A:AL,38,0)</f>
        <v>Auto</v>
      </c>
      <c r="F18" s="158">
        <f>+VLOOKUP(A18,Holding!A:I,9,0)</f>
        <v>13395</v>
      </c>
      <c r="G18" s="157">
        <f>+ROUND(+VLOOKUP(A18,Holding!A:R,18,0)/100000,2)</f>
        <v>379.54</v>
      </c>
      <c r="H18" s="16">
        <f t="shared" ref="H18:H41" si="2">ROUND(+G18/$G$61,4)</f>
        <v>7.0099999999999996E-2</v>
      </c>
    </row>
    <row r="19" spans="1:9">
      <c r="A19" s="2" t="str">
        <f t="shared" si="0"/>
        <v>QTSFINE001A01036</v>
      </c>
      <c r="B19" s="230">
        <f t="shared" si="1"/>
        <v>2</v>
      </c>
      <c r="C19" s="196" t="str">
        <f>VLOOKUP(A19,Holding!A:AM,39,0)&amp;"*"</f>
        <v>Housing Development Finance Corporation Limited*</v>
      </c>
      <c r="D19" s="127" t="s">
        <v>100</v>
      </c>
      <c r="E19" s="157" t="str">
        <f>VLOOKUP(A19,Holding!A:AL,38,0)</f>
        <v>Finance</v>
      </c>
      <c r="F19" s="158">
        <f>+VLOOKUP(A19,Holding!A:I,9,0)</f>
        <v>25409</v>
      </c>
      <c r="G19" s="157">
        <f>+ROUND(+VLOOKUP(A19,Holding!A:R,18,0)/100000,2)</f>
        <v>347.05</v>
      </c>
      <c r="H19" s="16">
        <f t="shared" si="2"/>
        <v>6.4100000000000004E-2</v>
      </c>
    </row>
    <row r="20" spans="1:9">
      <c r="A20" s="2" t="str">
        <f t="shared" si="0"/>
        <v>QTSFINE158A01026</v>
      </c>
      <c r="B20" s="230">
        <f t="shared" si="1"/>
        <v>3</v>
      </c>
      <c r="C20" s="196" t="str">
        <f>VLOOKUP(A20,Holding!A:AM,39,0)&amp;"*"</f>
        <v>Hero MotoCorp Limited*</v>
      </c>
      <c r="D20" s="127" t="s">
        <v>120</v>
      </c>
      <c r="E20" s="157" t="str">
        <f>VLOOKUP(A20,Holding!A:AL,38,0)</f>
        <v>Auto</v>
      </c>
      <c r="F20" s="158">
        <f>+VLOOKUP(A20,Holding!A:I,9,0)</f>
        <v>10634</v>
      </c>
      <c r="G20" s="157">
        <f>+ROUND(+VLOOKUP(A20,Holding!A:R,18,0)/100000,2)</f>
        <v>337.35</v>
      </c>
      <c r="H20" s="16">
        <f t="shared" si="2"/>
        <v>6.2300000000000001E-2</v>
      </c>
    </row>
    <row r="21" spans="1:9">
      <c r="A21" s="2" t="str">
        <f t="shared" si="0"/>
        <v>QTSFINE009A01021</v>
      </c>
      <c r="B21" s="230">
        <f t="shared" si="1"/>
        <v>4</v>
      </c>
      <c r="C21" s="196" t="str">
        <f>VLOOKUP(A21,Holding!A:AM,39,0)&amp;"*"</f>
        <v>Infosys Limited*</v>
      </c>
      <c r="D21" s="127" t="s">
        <v>99</v>
      </c>
      <c r="E21" s="157" t="str">
        <f>VLOOKUP(A21,Holding!A:AL,38,0)</f>
        <v>Software</v>
      </c>
      <c r="F21" s="158">
        <f>+VLOOKUP(A21,Holding!A:I,9,0)</f>
        <v>30144</v>
      </c>
      <c r="G21" s="157">
        <f>+ROUND(+VLOOKUP(A21,Holding!A:R,18,0)/100000,2)</f>
        <v>279.92</v>
      </c>
      <c r="H21" s="16">
        <f t="shared" si="2"/>
        <v>5.1700000000000003E-2</v>
      </c>
    </row>
    <row r="22" spans="1:9">
      <c r="A22" s="2" t="str">
        <f t="shared" si="0"/>
        <v>QTSFINE467B01029</v>
      </c>
      <c r="B22" s="230">
        <f t="shared" si="1"/>
        <v>5</v>
      </c>
      <c r="C22" s="196" t="str">
        <f>VLOOKUP(A22,Holding!A:AM,39,0)&amp;"*"</f>
        <v>Tata Consultancy Services Limited*</v>
      </c>
      <c r="D22" s="127" t="s">
        <v>103</v>
      </c>
      <c r="E22" s="157" t="str">
        <f>VLOOKUP(A22,Holding!A:AL,38,0)</f>
        <v>Software</v>
      </c>
      <c r="F22" s="158">
        <f>+VLOOKUP(A22,Holding!A:I,9,0)</f>
        <v>11930</v>
      </c>
      <c r="G22" s="157">
        <f>+ROUND(+VLOOKUP(A22,Holding!A:R,18,0)/100000,2)</f>
        <v>266.02</v>
      </c>
      <c r="H22" s="16">
        <f t="shared" si="2"/>
        <v>4.9099999999999998E-2</v>
      </c>
      <c r="I22" s="2" t="s">
        <v>1053</v>
      </c>
    </row>
    <row r="23" spans="1:9">
      <c r="A23" s="2" t="str">
        <f t="shared" si="0"/>
        <v>QTSFINE155A01022</v>
      </c>
      <c r="B23" s="230">
        <f t="shared" si="1"/>
        <v>6</v>
      </c>
      <c r="C23" s="196" t="str">
        <f>VLOOKUP(A23,Holding!A:AM,39,0)&amp;"*"</f>
        <v>Tata Motors Limited*</v>
      </c>
      <c r="D23" s="127" t="s">
        <v>106</v>
      </c>
      <c r="E23" s="157" t="str">
        <f>VLOOKUP(A23,Holding!A:AL,38,0)</f>
        <v>Auto</v>
      </c>
      <c r="F23" s="158">
        <f>+VLOOKUP(A23,Holding!A:I,9,0)</f>
        <v>48172</v>
      </c>
      <c r="G23" s="157">
        <f>+ROUND(+VLOOKUP(A23,Holding!A:R,18,0)/100000,2)</f>
        <v>252.2</v>
      </c>
      <c r="H23" s="16">
        <f t="shared" si="2"/>
        <v>4.6600000000000003E-2</v>
      </c>
    </row>
    <row r="24" spans="1:9">
      <c r="A24" s="2" t="str">
        <f t="shared" si="0"/>
        <v>QTSFINE733E01010</v>
      </c>
      <c r="B24" s="230">
        <f t="shared" si="1"/>
        <v>7</v>
      </c>
      <c r="C24" s="196" t="str">
        <f>VLOOKUP(A24,Holding!A:AM,39,0)&amp;"*"</f>
        <v>NTPC Limited*</v>
      </c>
      <c r="D24" s="127" t="s">
        <v>114</v>
      </c>
      <c r="E24" s="157" t="str">
        <f>VLOOKUP(A24,Holding!A:AL,38,0)</f>
        <v>Power</v>
      </c>
      <c r="F24" s="158">
        <f>+VLOOKUP(A24,Holding!A:I,9,0)</f>
        <v>140413</v>
      </c>
      <c r="G24" s="157">
        <f>+ROUND(+VLOOKUP(A24,Holding!A:R,18,0)/100000,2)</f>
        <v>242</v>
      </c>
      <c r="H24" s="16">
        <f t="shared" si="2"/>
        <v>4.4699999999999997E-2</v>
      </c>
    </row>
    <row r="25" spans="1:9">
      <c r="A25" s="2" t="str">
        <f t="shared" si="0"/>
        <v>QTSFINE213A01029</v>
      </c>
      <c r="B25" s="230">
        <f t="shared" si="1"/>
        <v>8</v>
      </c>
      <c r="C25" s="196" t="str">
        <f>VLOOKUP(A25,Holding!A:AM,39,0)&amp;"*"</f>
        <v>Oil &amp; Natural Gas Corporation Limited*</v>
      </c>
      <c r="D25" s="127" t="s">
        <v>105</v>
      </c>
      <c r="E25" s="157" t="str">
        <f>VLOOKUP(A25,Holding!A:AL,38,0)</f>
        <v>Oil</v>
      </c>
      <c r="F25" s="158">
        <f>+VLOOKUP(A25,Holding!A:I,9,0)</f>
        <v>105453</v>
      </c>
      <c r="G25" s="157">
        <f>+ROUND(+VLOOKUP(A25,Holding!A:R,18,0)/100000,2)</f>
        <v>213.6</v>
      </c>
      <c r="H25" s="16">
        <f t="shared" si="2"/>
        <v>3.9399999999999998E-2</v>
      </c>
    </row>
    <row r="26" spans="1:9">
      <c r="A26" s="2" t="str">
        <f t="shared" si="0"/>
        <v>QTSFINE062A01020</v>
      </c>
      <c r="B26" s="230">
        <f t="shared" si="1"/>
        <v>9</v>
      </c>
      <c r="C26" s="196" t="str">
        <f>VLOOKUP(A26,Holding!A:AM,39,0)&amp;"*"</f>
        <v>State Bank of India*</v>
      </c>
      <c r="D26" s="127" t="s">
        <v>201</v>
      </c>
      <c r="E26" s="157" t="str">
        <f>VLOOKUP(A26,Holding!A:AL,38,0)</f>
        <v>Banks</v>
      </c>
      <c r="F26" s="158">
        <f>+VLOOKUP(A26,Holding!A:I,9,0)</f>
        <v>78500</v>
      </c>
      <c r="G26" s="157">
        <f>+ROUND(+VLOOKUP(A26,Holding!A:R,18,0)/100000,2)</f>
        <v>204.37</v>
      </c>
      <c r="H26" s="16">
        <f t="shared" si="2"/>
        <v>3.7699999999999997E-2</v>
      </c>
    </row>
    <row r="27" spans="1:9">
      <c r="A27" s="2" t="str">
        <f t="shared" si="0"/>
        <v>QTSFINE090A01021</v>
      </c>
      <c r="B27" s="230">
        <f t="shared" si="1"/>
        <v>10</v>
      </c>
      <c r="C27" s="196" t="str">
        <f>VLOOKUP(A27,Holding!A:AM,39,0)&amp;"*"</f>
        <v>ICICI Bank Limited*</v>
      </c>
      <c r="D27" s="127" t="s">
        <v>204</v>
      </c>
      <c r="E27" s="157" t="str">
        <f>VLOOKUP(A27,Holding!A:AL,38,0)</f>
        <v>Banks</v>
      </c>
      <c r="F27" s="158">
        <f>+VLOOKUP(A27,Holding!A:I,9,0)</f>
        <v>74039</v>
      </c>
      <c r="G27" s="157">
        <f>+ROUND(+VLOOKUP(A27,Holding!A:R,18,0)/100000,2)</f>
        <v>199.13</v>
      </c>
      <c r="H27" s="16">
        <f t="shared" si="2"/>
        <v>3.6799999999999999E-2</v>
      </c>
    </row>
    <row r="28" spans="1:9">
      <c r="A28" s="2" t="str">
        <f t="shared" si="0"/>
        <v>QTSFINE302A01020</v>
      </c>
      <c r="B28" s="230">
        <f t="shared" si="1"/>
        <v>11</v>
      </c>
      <c r="C28" s="196" t="str">
        <f>VLOOKUP(A28,Holding!A:AM,39,0)</f>
        <v>Exide Industries Limited</v>
      </c>
      <c r="D28" s="242" t="s">
        <v>180</v>
      </c>
      <c r="E28" s="157" t="str">
        <f>VLOOKUP(A28,Holding!A:AL,38,0)</f>
        <v>Auto Ancillaries</v>
      </c>
      <c r="F28" s="158">
        <f>+VLOOKUP(A28,Holding!A:I,9,0)</f>
        <v>97127</v>
      </c>
      <c r="G28" s="157">
        <f>+ROUND(+VLOOKUP(A28,Holding!A:R,18,0)/100000,2)</f>
        <v>191.63</v>
      </c>
      <c r="H28" s="16">
        <f t="shared" si="2"/>
        <v>3.5400000000000001E-2</v>
      </c>
    </row>
    <row r="29" spans="1:9">
      <c r="A29" s="2" t="str">
        <f t="shared" si="0"/>
        <v>QTSFINE018A01030</v>
      </c>
      <c r="B29" s="230">
        <f t="shared" si="1"/>
        <v>12</v>
      </c>
      <c r="C29" s="196" t="str">
        <f>VLOOKUP(A29,Holding!A:AM,39,0)</f>
        <v>Larsen &amp; Toubro Limited</v>
      </c>
      <c r="D29" s="127" t="s">
        <v>102</v>
      </c>
      <c r="E29" s="157" t="str">
        <f>VLOOKUP(A29,Holding!A:AL,38,0)</f>
        <v>Construction Project</v>
      </c>
      <c r="F29" s="158">
        <f>+VLOOKUP(A29,Holding!A:I,9,0)</f>
        <v>12878</v>
      </c>
      <c r="G29" s="157">
        <f>+ROUND(+VLOOKUP(A29,Holding!A:R,18,0)/100000,2)</f>
        <v>186.25</v>
      </c>
      <c r="H29" s="16">
        <f t="shared" si="2"/>
        <v>3.44E-2</v>
      </c>
    </row>
    <row r="30" spans="1:9">
      <c r="A30" s="2" t="str">
        <f t="shared" si="0"/>
        <v>QTSFINE752E01010</v>
      </c>
      <c r="B30" s="230">
        <f t="shared" si="1"/>
        <v>13</v>
      </c>
      <c r="C30" s="196" t="str">
        <f>VLOOKUP(A30,Holding!A:AM,39,0)</f>
        <v>Power Grid Corporation of India Limited</v>
      </c>
      <c r="D30" s="127" t="s">
        <v>123</v>
      </c>
      <c r="E30" s="157" t="str">
        <f>VLOOKUP(A30,Holding!A:AL,38,0)</f>
        <v>Power</v>
      </c>
      <c r="F30" s="158">
        <f>+VLOOKUP(A30,Holding!A:I,9,0)</f>
        <v>88975</v>
      </c>
      <c r="G30" s="157">
        <f>+ROUND(+VLOOKUP(A30,Holding!A:R,18,0)/100000,2)</f>
        <v>184.36</v>
      </c>
      <c r="H30" s="16">
        <f t="shared" si="2"/>
        <v>3.4000000000000002E-2</v>
      </c>
    </row>
    <row r="31" spans="1:9">
      <c r="A31" s="2" t="str">
        <f t="shared" si="0"/>
        <v>QTSFINE059A01026</v>
      </c>
      <c r="B31" s="230">
        <f t="shared" si="1"/>
        <v>14</v>
      </c>
      <c r="C31" s="196" t="str">
        <f>VLOOKUP(A31,Holding!A:AM,39,0)</f>
        <v>Cipla Limited</v>
      </c>
      <c r="D31" s="127" t="s">
        <v>117</v>
      </c>
      <c r="E31" s="157" t="str">
        <f>VLOOKUP(A31,Holding!A:AL,38,0)</f>
        <v>Pharmaceuticals</v>
      </c>
      <c r="F31" s="158">
        <f>+VLOOKUP(A31,Holding!A:I,9,0)</f>
        <v>29918</v>
      </c>
      <c r="G31" s="157">
        <f>+ROUND(+VLOOKUP(A31,Holding!A:R,18,0)/100000,2)</f>
        <v>172.13</v>
      </c>
      <c r="H31" s="16">
        <f t="shared" si="2"/>
        <v>3.1800000000000002E-2</v>
      </c>
    </row>
    <row r="32" spans="1:9">
      <c r="A32" s="2" t="str">
        <f t="shared" si="0"/>
        <v>QTSFINE053A01029</v>
      </c>
      <c r="B32" s="230">
        <f t="shared" si="1"/>
        <v>15</v>
      </c>
      <c r="C32" s="196" t="str">
        <f>VLOOKUP(A32,Holding!A:AM,39,0)</f>
        <v>The Indian Hotels Company Limited</v>
      </c>
      <c r="D32" s="242" t="s">
        <v>131</v>
      </c>
      <c r="E32" s="157" t="str">
        <f>VLOOKUP(A32,Holding!A:AL,38,0)</f>
        <v>Hotels, Resorts And Other Recreational Activities</v>
      </c>
      <c r="F32" s="158">
        <f>+VLOOKUP(A32,Holding!A:I,9,0)</f>
        <v>157170</v>
      </c>
      <c r="G32" s="157">
        <f>+ROUND(+VLOOKUP(A32,Holding!A:R,18,0)/100000,2)</f>
        <v>169.82</v>
      </c>
      <c r="H32" s="243">
        <f t="shared" si="2"/>
        <v>3.1399999999999997E-2</v>
      </c>
    </row>
    <row r="33" spans="1:8">
      <c r="A33" s="2" t="str">
        <f t="shared" si="0"/>
        <v>QTSFINE092A01019</v>
      </c>
      <c r="B33" s="230">
        <f t="shared" si="1"/>
        <v>16</v>
      </c>
      <c r="C33" s="196" t="str">
        <f>VLOOKUP(A33,Holding!A:AM,39,0)</f>
        <v>Tata Chemicals Limited</v>
      </c>
      <c r="D33" s="242" t="s">
        <v>133</v>
      </c>
      <c r="E33" s="157" t="str">
        <f>VLOOKUP(A33,Holding!A:AL,38,0)</f>
        <v>Chemicals</v>
      </c>
      <c r="F33" s="158">
        <f>+VLOOKUP(A33,Holding!A:I,9,0)</f>
        <v>30360</v>
      </c>
      <c r="G33" s="157">
        <f>+ROUND(+VLOOKUP(A33,Holding!A:R,18,0)/100000,2)</f>
        <v>165.33</v>
      </c>
      <c r="H33" s="16">
        <f t="shared" si="2"/>
        <v>3.0499999999999999E-2</v>
      </c>
    </row>
    <row r="34" spans="1:8">
      <c r="A34" s="2" t="str">
        <f t="shared" si="0"/>
        <v>QTSFINE129A01019</v>
      </c>
      <c r="B34" s="230">
        <f t="shared" si="1"/>
        <v>17</v>
      </c>
      <c r="C34" s="196" t="str">
        <f>VLOOKUP(A34,Holding!A:AM,39,0)</f>
        <v>GAIL (India) Limited</v>
      </c>
      <c r="D34" s="242" t="s">
        <v>122</v>
      </c>
      <c r="E34" s="157" t="str">
        <f>VLOOKUP(A34,Holding!A:AL,38,0)</f>
        <v>Gas</v>
      </c>
      <c r="F34" s="158">
        <f>+VLOOKUP(A34,Holding!A:I,9,0)</f>
        <v>34674</v>
      </c>
      <c r="G34" s="157">
        <f>+ROUND(+VLOOKUP(A34,Holding!A:R,18,0)/100000,2)</f>
        <v>162.33000000000001</v>
      </c>
      <c r="H34" s="16">
        <f t="shared" si="2"/>
        <v>0.03</v>
      </c>
    </row>
    <row r="35" spans="1:8">
      <c r="A35" s="2" t="str">
        <f t="shared" si="0"/>
        <v>QTSFINE237A01028</v>
      </c>
      <c r="B35" s="230">
        <f t="shared" si="1"/>
        <v>18</v>
      </c>
      <c r="C35" s="196" t="str">
        <f>VLOOKUP(A35,Holding!A:AM,39,0)</f>
        <v>Kotak Mahindra Bank Limited</v>
      </c>
      <c r="D35" s="242" t="s">
        <v>112</v>
      </c>
      <c r="E35" s="157" t="str">
        <f>VLOOKUP(A35,Holding!A:AL,38,0)</f>
        <v>Banks</v>
      </c>
      <c r="F35" s="158">
        <f>+VLOOKUP(A35,Holding!A:I,9,0)</f>
        <v>19068</v>
      </c>
      <c r="G35" s="157">
        <f>+ROUND(+VLOOKUP(A35,Holding!A:R,18,0)/100000,2)</f>
        <v>147.61000000000001</v>
      </c>
      <c r="H35" s="243">
        <f t="shared" si="2"/>
        <v>2.7300000000000001E-2</v>
      </c>
    </row>
    <row r="36" spans="1:8">
      <c r="A36" s="2" t="str">
        <f t="shared" si="0"/>
        <v>QTSFINE397D01024</v>
      </c>
      <c r="B36" s="230">
        <f t="shared" si="1"/>
        <v>19</v>
      </c>
      <c r="C36" s="196" t="str">
        <f>VLOOKUP(A36,Holding!A:AM,39,0)</f>
        <v>Bharti Airtel Limited</v>
      </c>
      <c r="D36" s="127" t="s">
        <v>108</v>
      </c>
      <c r="E36" s="157" t="str">
        <f>VLOOKUP(A36,Holding!A:AL,38,0)</f>
        <v>Telecom - Services</v>
      </c>
      <c r="F36" s="158">
        <f>+VLOOKUP(A36,Holding!A:I,9,0)</f>
        <v>41342</v>
      </c>
      <c r="G36" s="157">
        <f>+ROUND(+VLOOKUP(A36,Holding!A:R,18,0)/100000,2)</f>
        <v>143.94999999999999</v>
      </c>
      <c r="H36" s="16">
        <f t="shared" si="2"/>
        <v>2.6599999999999999E-2</v>
      </c>
    </row>
    <row r="37" spans="1:8">
      <c r="A37" s="2" t="str">
        <f t="shared" si="0"/>
        <v>QTSFINE877F01012</v>
      </c>
      <c r="B37" s="230">
        <f t="shared" si="1"/>
        <v>20</v>
      </c>
      <c r="C37" s="196" t="str">
        <f>VLOOKUP(A37,Holding!A:AM,39,0)</f>
        <v>PTC India Limited</v>
      </c>
      <c r="D37" s="127" t="s">
        <v>132</v>
      </c>
      <c r="E37" s="157" t="str">
        <f>VLOOKUP(A37,Holding!A:AL,38,0)</f>
        <v>Power</v>
      </c>
      <c r="F37" s="158">
        <f>+VLOOKUP(A37,Holding!A:I,9,0)</f>
        <v>168819</v>
      </c>
      <c r="G37" s="157">
        <f>+ROUND(+VLOOKUP(A37,Holding!A:R,18,0)/100000,2)</f>
        <v>141.97999999999999</v>
      </c>
      <c r="H37" s="16">
        <f t="shared" si="2"/>
        <v>2.6200000000000001E-2</v>
      </c>
    </row>
    <row r="38" spans="1:8">
      <c r="A38" s="2" t="str">
        <f t="shared" si="0"/>
        <v>QTSFINE075A01022</v>
      </c>
      <c r="B38" s="230">
        <f t="shared" si="1"/>
        <v>21</v>
      </c>
      <c r="C38" s="196" t="str">
        <f>VLOOKUP(A38,Holding!A:AM,39,0)</f>
        <v>Wipro Limited</v>
      </c>
      <c r="D38" s="127" t="s">
        <v>173</v>
      </c>
      <c r="E38" s="157" t="str">
        <f>VLOOKUP(A38,Holding!A:AL,38,0)</f>
        <v>Software</v>
      </c>
      <c r="F38" s="158">
        <f>+VLOOKUP(A38,Holding!A:I,9,0)</f>
        <v>29581</v>
      </c>
      <c r="G38" s="157">
        <f>+ROUND(+VLOOKUP(A38,Holding!A:R,18,0)/100000,2)</f>
        <v>135.47999999999999</v>
      </c>
      <c r="H38" s="16">
        <f t="shared" si="2"/>
        <v>2.5000000000000001E-2</v>
      </c>
    </row>
    <row r="39" spans="1:8">
      <c r="A39" s="2" t="str">
        <f t="shared" si="0"/>
        <v>QTSFINE081A01012</v>
      </c>
      <c r="B39" s="230">
        <f t="shared" si="1"/>
        <v>22</v>
      </c>
      <c r="C39" s="196" t="str">
        <f>VLOOKUP(A39,Holding!A:AM,39,0)</f>
        <v>Tata Steel Limited</v>
      </c>
      <c r="D39" s="242" t="s">
        <v>109</v>
      </c>
      <c r="E39" s="157" t="str">
        <f>VLOOKUP(A39,Holding!A:AL,38,0)</f>
        <v>Ferrous Metals</v>
      </c>
      <c r="F39" s="158">
        <f>+VLOOKUP(A39,Holding!A:I,9,0)</f>
        <v>24741</v>
      </c>
      <c r="G39" s="157">
        <f>+ROUND(+VLOOKUP(A39,Holding!A:R,18,0)/100000,2)</f>
        <v>114.56</v>
      </c>
      <c r="H39" s="16">
        <f t="shared" si="2"/>
        <v>2.1100000000000001E-2</v>
      </c>
    </row>
    <row r="40" spans="1:8">
      <c r="A40" s="2" t="str">
        <f t="shared" si="0"/>
        <v>QTSFINE347G01014</v>
      </c>
      <c r="B40" s="230">
        <f t="shared" si="1"/>
        <v>23</v>
      </c>
      <c r="C40" s="196" t="str">
        <f>VLOOKUP(A40,Holding!A:AM,39,0)</f>
        <v>Petronet LNG Limited</v>
      </c>
      <c r="D40" s="127" t="s">
        <v>167</v>
      </c>
      <c r="E40" s="157" t="str">
        <f>VLOOKUP(A40,Holding!A:AL,38,0)</f>
        <v>Gas</v>
      </c>
      <c r="F40" s="158">
        <f>+VLOOKUP(A40,Holding!A:I,9,0)</f>
        <v>27565</v>
      </c>
      <c r="G40" s="157">
        <f>+ROUND(+VLOOKUP(A40,Holding!A:R,18,0)/100000,2)</f>
        <v>103.08</v>
      </c>
      <c r="H40" s="16">
        <f t="shared" si="2"/>
        <v>1.9E-2</v>
      </c>
    </row>
    <row r="41" spans="1:8">
      <c r="A41" s="2" t="str">
        <f t="shared" si="0"/>
        <v>QTSFINE242A01010</v>
      </c>
      <c r="B41" s="230">
        <f t="shared" si="1"/>
        <v>24</v>
      </c>
      <c r="C41" s="196" t="str">
        <f>VLOOKUP(A41,Holding!A:AM,39,0)</f>
        <v>Indian Oil Corporation Limited</v>
      </c>
      <c r="D41" s="127" t="s">
        <v>143</v>
      </c>
      <c r="E41" s="157" t="str">
        <f>VLOOKUP(A41,Holding!A:AL,38,0)</f>
        <v>Petroleum Products</v>
      </c>
      <c r="F41" s="158">
        <f>+VLOOKUP(A41,Holding!A:I,9,0)</f>
        <v>25762</v>
      </c>
      <c r="G41" s="157">
        <f>+ROUND(+VLOOKUP(A41,Holding!A:R,18,0)/100000,2)</f>
        <v>94.39</v>
      </c>
      <c r="H41" s="16">
        <f t="shared" si="2"/>
        <v>1.7399999999999999E-2</v>
      </c>
    </row>
    <row r="42" spans="1:8">
      <c r="B42" s="230"/>
      <c r="C42" s="157"/>
      <c r="D42" s="127"/>
      <c r="E42" s="157"/>
      <c r="F42" s="158"/>
      <c r="G42" s="157"/>
      <c r="H42" s="16"/>
    </row>
    <row r="43" spans="1:8">
      <c r="B43" s="230" t="s">
        <v>10</v>
      </c>
      <c r="C43" s="21" t="s">
        <v>39</v>
      </c>
      <c r="D43" s="21"/>
      <c r="E43" s="15"/>
      <c r="F43" s="68" t="s">
        <v>9</v>
      </c>
      <c r="G43" s="68" t="s">
        <v>9</v>
      </c>
      <c r="H43" s="197" t="s">
        <v>9</v>
      </c>
    </row>
    <row r="44" spans="1:8">
      <c r="B44" s="230"/>
      <c r="C44" s="21"/>
      <c r="D44" s="21"/>
      <c r="E44" s="15"/>
      <c r="F44" s="86"/>
      <c r="G44" s="86"/>
      <c r="H44" s="87"/>
    </row>
    <row r="45" spans="1:8">
      <c r="B45" s="230"/>
      <c r="C45" s="21" t="s">
        <v>51</v>
      </c>
      <c r="D45" s="21"/>
      <c r="E45" s="15"/>
      <c r="F45" s="54"/>
      <c r="G45" s="54">
        <f>SUM(G18:G44)</f>
        <v>4834.08</v>
      </c>
      <c r="H45" s="59">
        <f>SUM(H18:H44)</f>
        <v>0.89259999999999995</v>
      </c>
    </row>
    <row r="46" spans="1:8">
      <c r="B46" s="230"/>
      <c r="C46" s="14"/>
      <c r="D46" s="14"/>
      <c r="E46" s="15"/>
      <c r="F46" s="54"/>
      <c r="G46" s="54"/>
      <c r="H46" s="59"/>
    </row>
    <row r="47" spans="1:8">
      <c r="B47" s="244"/>
      <c r="C47" s="21" t="s">
        <v>56</v>
      </c>
      <c r="D47" s="21"/>
      <c r="E47" s="54"/>
      <c r="F47" s="54"/>
      <c r="G47" s="54"/>
      <c r="H47" s="59"/>
    </row>
    <row r="48" spans="1:8">
      <c r="B48" s="244"/>
      <c r="C48" s="21"/>
      <c r="D48" s="21"/>
      <c r="E48" s="54"/>
      <c r="F48" s="54"/>
      <c r="G48" s="54"/>
      <c r="H48" s="59"/>
    </row>
    <row r="49" spans="1:8">
      <c r="B49" s="230" t="s">
        <v>7</v>
      </c>
      <c r="C49" s="21" t="s">
        <v>8</v>
      </c>
      <c r="D49" s="21"/>
      <c r="E49" s="54"/>
      <c r="F49" s="194" t="s">
        <v>9</v>
      </c>
      <c r="G49" s="194" t="s">
        <v>9</v>
      </c>
      <c r="H49" s="195" t="s">
        <v>9</v>
      </c>
    </row>
    <row r="50" spans="1:8">
      <c r="B50" s="230" t="s">
        <v>10</v>
      </c>
      <c r="C50" s="21" t="s">
        <v>11</v>
      </c>
      <c r="D50" s="21"/>
      <c r="E50" s="54"/>
      <c r="F50" s="194" t="s">
        <v>9</v>
      </c>
      <c r="G50" s="194" t="s">
        <v>9</v>
      </c>
      <c r="H50" s="195" t="s">
        <v>9</v>
      </c>
    </row>
    <row r="51" spans="1:8">
      <c r="B51" s="230" t="s">
        <v>12</v>
      </c>
      <c r="C51" s="9" t="s">
        <v>13</v>
      </c>
      <c r="D51" s="9"/>
      <c r="E51" s="54"/>
      <c r="F51" s="194" t="s">
        <v>9</v>
      </c>
      <c r="G51" s="194" t="s">
        <v>9</v>
      </c>
      <c r="H51" s="195" t="s">
        <v>9</v>
      </c>
    </row>
    <row r="52" spans="1:8">
      <c r="B52" s="230"/>
      <c r="C52" s="21" t="s">
        <v>80</v>
      </c>
      <c r="D52" s="21"/>
      <c r="E52" s="54"/>
      <c r="F52" s="86"/>
      <c r="G52" s="86" t="s">
        <v>9</v>
      </c>
      <c r="H52" s="87" t="s">
        <v>9</v>
      </c>
    </row>
    <row r="53" spans="1:8">
      <c r="B53" s="230"/>
      <c r="C53" s="21"/>
      <c r="D53" s="21"/>
      <c r="E53" s="54"/>
      <c r="F53" s="54"/>
      <c r="G53" s="54"/>
      <c r="H53" s="59"/>
    </row>
    <row r="54" spans="1:8">
      <c r="B54" s="230"/>
      <c r="C54" s="21" t="s">
        <v>55</v>
      </c>
      <c r="D54" s="21"/>
      <c r="E54" s="54"/>
      <c r="F54" s="86"/>
      <c r="G54" s="86"/>
      <c r="H54" s="87"/>
    </row>
    <row r="55" spans="1:8">
      <c r="B55" s="230"/>
      <c r="C55" s="21"/>
      <c r="D55" s="21"/>
      <c r="E55" s="54"/>
      <c r="F55" s="86"/>
      <c r="G55" s="86"/>
      <c r="H55" s="87"/>
    </row>
    <row r="56" spans="1:8">
      <c r="A56" s="2" t="s">
        <v>619</v>
      </c>
      <c r="B56" s="230" t="s">
        <v>7</v>
      </c>
      <c r="C56" s="10" t="s">
        <v>82</v>
      </c>
      <c r="D56" s="9"/>
      <c r="E56" s="15"/>
      <c r="F56" s="54"/>
      <c r="G56" s="157">
        <f>+ROUND(+VLOOKUP(A56,Holding!A:R,18,0)/100000,2)</f>
        <v>586.32000000000005</v>
      </c>
      <c r="H56" s="16">
        <f>+ROUND(G56/$G$61,4)</f>
        <v>0.1082</v>
      </c>
    </row>
    <row r="57" spans="1:8">
      <c r="B57" s="230"/>
      <c r="C57" s="14"/>
      <c r="D57" s="14"/>
      <c r="E57" s="15"/>
      <c r="F57" s="54"/>
      <c r="G57" s="54"/>
      <c r="H57" s="59"/>
    </row>
    <row r="58" spans="1:8">
      <c r="B58" s="230"/>
      <c r="C58" s="9" t="s">
        <v>83</v>
      </c>
      <c r="D58" s="9"/>
      <c r="E58" s="15"/>
      <c r="F58" s="54"/>
      <c r="G58" s="54"/>
      <c r="H58" s="59"/>
    </row>
    <row r="59" spans="1:8">
      <c r="B59" s="230"/>
      <c r="C59" s="14" t="s">
        <v>35</v>
      </c>
      <c r="D59" s="14"/>
      <c r="E59" s="15"/>
      <c r="F59" s="54"/>
      <c r="G59" s="15">
        <f>G61-G56-G45</f>
        <v>-3.6700000000000728</v>
      </c>
      <c r="H59" s="16">
        <f>+H61-H45-H56</f>
        <v>-7.9999999999995353E-4</v>
      </c>
    </row>
    <row r="60" spans="1:8">
      <c r="B60" s="230"/>
      <c r="C60" s="21"/>
      <c r="D60" s="21"/>
      <c r="E60" s="15"/>
      <c r="F60" s="15"/>
      <c r="G60" s="14"/>
      <c r="H60" s="61"/>
    </row>
    <row r="61" spans="1:8" s="24" customFormat="1">
      <c r="A61" s="24" t="s">
        <v>357</v>
      </c>
      <c r="B61" s="244"/>
      <c r="C61" s="21" t="s">
        <v>14</v>
      </c>
      <c r="D61" s="21"/>
      <c r="E61" s="54"/>
      <c r="F61" s="54"/>
      <c r="G61" s="168">
        <f>+ROUND(+VLOOKUP(A61,Holding!A:R,18,0)/100000,2)</f>
        <v>5416.73</v>
      </c>
      <c r="H61" s="71">
        <v>1</v>
      </c>
    </row>
    <row r="62" spans="1:8" ht="13.5" thickBot="1">
      <c r="B62" s="250"/>
      <c r="C62" s="73"/>
      <c r="D62" s="73"/>
      <c r="E62" s="74"/>
      <c r="F62" s="74"/>
      <c r="G62" s="73"/>
      <c r="H62" s="75"/>
    </row>
    <row r="63" spans="1:8">
      <c r="B63" s="251"/>
      <c r="C63" s="31"/>
      <c r="D63" s="31"/>
      <c r="E63" s="31"/>
      <c r="F63" s="31"/>
      <c r="G63" s="31"/>
      <c r="H63" s="32"/>
    </row>
    <row r="64" spans="1:8">
      <c r="B64" s="252" t="s">
        <v>15</v>
      </c>
      <c r="C64" s="279"/>
      <c r="D64" s="279"/>
      <c r="E64" s="279"/>
      <c r="F64" s="62"/>
      <c r="G64" s="62"/>
      <c r="H64" s="5"/>
    </row>
    <row r="65" spans="1:8">
      <c r="B65" s="252" t="s">
        <v>16</v>
      </c>
      <c r="C65" s="279" t="str">
        <f>"Total Non performing Assets provided for and its percentage to NAV as on "&amp;TEXT(Index!C23,"mmmmmmmmmm dd, yyyy")&amp;" - NIL"</f>
        <v>Total Non performing Assets provided for and its percentage to NAV as on January 31, 2017 - NIL</v>
      </c>
      <c r="D65" s="279"/>
      <c r="E65" s="279"/>
      <c r="F65" s="62"/>
      <c r="G65" s="62"/>
      <c r="H65" s="5"/>
    </row>
    <row r="66" spans="1:8">
      <c r="B66" s="252" t="s">
        <v>17</v>
      </c>
      <c r="C66" s="279" t="s">
        <v>186</v>
      </c>
      <c r="D66" s="279"/>
      <c r="E66" s="279"/>
      <c r="F66" s="62"/>
      <c r="G66" s="62"/>
      <c r="H66" s="5"/>
    </row>
    <row r="67" spans="1:8">
      <c r="B67" s="252" t="s">
        <v>18</v>
      </c>
      <c r="C67" s="279" t="s">
        <v>36</v>
      </c>
      <c r="D67" s="279"/>
      <c r="E67" s="279"/>
      <c r="F67" s="62"/>
      <c r="G67" s="62"/>
      <c r="H67" s="149"/>
    </row>
    <row r="68" spans="1:8">
      <c r="B68" s="252"/>
      <c r="C68" s="350" t="s">
        <v>171</v>
      </c>
      <c r="D68" s="345" t="str">
        <f>"As on "&amp;TEXT(Index!C24,"mmmmmmmmmm dd, yyyy")&amp;" (Rs.)"</f>
        <v>As on January 31, 2017 (Rs.)</v>
      </c>
      <c r="E68" s="279"/>
      <c r="F68" s="62"/>
      <c r="G68" s="62"/>
      <c r="H68" s="138"/>
    </row>
    <row r="69" spans="1:8">
      <c r="A69" s="2" t="s">
        <v>376</v>
      </c>
      <c r="B69" s="252"/>
      <c r="C69" s="351" t="s">
        <v>21</v>
      </c>
      <c r="D69" s="362">
        <f>+VLOOKUP(A69,Bloomberg!C:E,3,0)</f>
        <v>45.94</v>
      </c>
      <c r="E69" s="279"/>
      <c r="F69" s="62"/>
      <c r="G69" s="62"/>
      <c r="H69" s="138"/>
    </row>
    <row r="70" spans="1:8">
      <c r="A70" s="2" t="s">
        <v>375</v>
      </c>
      <c r="B70" s="252"/>
      <c r="C70" s="351" t="s">
        <v>22</v>
      </c>
      <c r="D70" s="362">
        <f>+VLOOKUP(A70,Bloomberg!C:E,3,0)</f>
        <v>45.94</v>
      </c>
      <c r="E70" s="279"/>
      <c r="F70" s="62"/>
      <c r="G70" s="62"/>
      <c r="H70" s="138"/>
    </row>
    <row r="71" spans="1:8">
      <c r="B71" s="252"/>
      <c r="C71" s="279"/>
      <c r="D71" s="279"/>
      <c r="E71" s="279"/>
      <c r="F71" s="62"/>
      <c r="G71" s="62"/>
      <c r="H71" s="149"/>
    </row>
    <row r="72" spans="1:8">
      <c r="B72" s="252" t="s">
        <v>23</v>
      </c>
      <c r="C72" s="279" t="str">
        <f>"Dividend/ Bonus declared during the period ended "&amp;TEXT(Index!C23,"mmmmmmmmmm dd, yyyy")&amp;" - NIL"</f>
        <v>Dividend/ Bonus declared during the period ended January 31, 2017 - NIL</v>
      </c>
      <c r="D72" s="279"/>
      <c r="E72" s="279"/>
      <c r="F72" s="62"/>
      <c r="G72" s="62"/>
      <c r="H72" s="5"/>
    </row>
    <row r="73" spans="1:8">
      <c r="B73" s="252" t="s">
        <v>24</v>
      </c>
      <c r="C73" s="279" t="str">
        <f>"Total outstanding exposure in derivative instruments as on "&amp;TEXT(Index!C23,"mmmmmmmmmm dd, yyyy")&amp;" is NIL"</f>
        <v>Total outstanding exposure in derivative instruments as on January 31, 2017 is NIL</v>
      </c>
      <c r="D73" s="279"/>
      <c r="E73" s="279"/>
      <c r="F73" s="62"/>
      <c r="G73" s="62"/>
      <c r="H73" s="5"/>
    </row>
    <row r="74" spans="1:8" ht="12.75" customHeight="1">
      <c r="B74" s="252" t="s">
        <v>25</v>
      </c>
      <c r="C74" s="279"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74" s="279"/>
      <c r="E74" s="279"/>
      <c r="F74" s="62"/>
      <c r="G74" s="62"/>
      <c r="H74" s="5"/>
    </row>
    <row r="75" spans="1:8">
      <c r="B75" s="252" t="s">
        <v>26</v>
      </c>
      <c r="C75" s="279" t="s">
        <v>187</v>
      </c>
      <c r="D75" s="279"/>
      <c r="E75" s="279"/>
      <c r="F75" s="62"/>
      <c r="G75" s="62"/>
      <c r="H75" s="5"/>
    </row>
    <row r="76" spans="1:8">
      <c r="B76" s="253" t="s">
        <v>27</v>
      </c>
      <c r="C76" s="39" t="s">
        <v>620</v>
      </c>
      <c r="D76" s="279"/>
      <c r="E76" s="279"/>
      <c r="F76" s="62"/>
      <c r="G76" s="62"/>
      <c r="H76" s="5"/>
    </row>
    <row r="77" spans="1:8">
      <c r="B77" s="253" t="s">
        <v>37</v>
      </c>
      <c r="C77" s="279" t="s">
        <v>188</v>
      </c>
      <c r="D77" s="279"/>
      <c r="E77" s="279"/>
      <c r="F77" s="62"/>
      <c r="G77" s="62"/>
      <c r="H77" s="5"/>
    </row>
    <row r="78" spans="1:8">
      <c r="B78" s="253" t="s">
        <v>53</v>
      </c>
      <c r="C78" s="279" t="s">
        <v>189</v>
      </c>
      <c r="D78" s="279"/>
      <c r="E78" s="279"/>
      <c r="F78" s="62"/>
      <c r="G78" s="62"/>
      <c r="H78" s="5"/>
    </row>
    <row r="79" spans="1:8">
      <c r="B79" s="253" t="s">
        <v>54</v>
      </c>
      <c r="C79" s="39" t="str">
        <f>"Total Brokerage Paid for Buying/ Selling of investment for the month ended "&amp;TEXT(Index!C23,"mmmmmmmmmm dd, yyyy")&amp;" is 38,596.49/-"</f>
        <v>Total Brokerage Paid for Buying/ Selling of investment for the month ended January 31, 2017 is 38,596.49/-</v>
      </c>
      <c r="D79" s="279"/>
      <c r="E79" s="279"/>
      <c r="F79" s="62"/>
      <c r="G79" s="62"/>
      <c r="H79" s="5"/>
    </row>
    <row r="80" spans="1:8">
      <c r="B80" s="252"/>
      <c r="C80" s="279"/>
      <c r="D80" s="279"/>
      <c r="E80" s="279"/>
      <c r="F80" s="62"/>
      <c r="G80" s="62"/>
      <c r="H80" s="5"/>
    </row>
    <row r="81" spans="2:8" s="24" customFormat="1">
      <c r="B81" s="252" t="s">
        <v>28</v>
      </c>
      <c r="C81" s="279" t="s">
        <v>29</v>
      </c>
      <c r="D81" s="279"/>
      <c r="E81" s="279"/>
      <c r="F81" s="62"/>
      <c r="G81" s="62"/>
      <c r="H81" s="5"/>
    </row>
    <row r="82" spans="2:8" s="24" customFormat="1">
      <c r="B82" s="252" t="s">
        <v>47</v>
      </c>
      <c r="C82" s="279" t="s">
        <v>48</v>
      </c>
      <c r="D82" s="279"/>
      <c r="E82" s="279"/>
      <c r="F82" s="62"/>
      <c r="G82" s="62"/>
      <c r="H82" s="5"/>
    </row>
    <row r="83" spans="2:8">
      <c r="B83" s="252" t="s">
        <v>40</v>
      </c>
      <c r="C83" s="279" t="s">
        <v>41</v>
      </c>
      <c r="D83" s="279"/>
      <c r="E83" s="279"/>
      <c r="F83" s="62"/>
      <c r="G83" s="62"/>
      <c r="H83" s="5"/>
    </row>
    <row r="84" spans="2:8" ht="13.5" thickBot="1">
      <c r="B84" s="254"/>
      <c r="C84" s="145"/>
      <c r="D84" s="145"/>
      <c r="E84" s="146"/>
      <c r="F84" s="145"/>
      <c r="G84" s="147"/>
      <c r="H84" s="148"/>
    </row>
    <row r="85" spans="2:8">
      <c r="E85" s="17"/>
    </row>
  </sheetData>
  <sortState ref="C18:H41">
    <sortCondition descending="1" ref="H18:H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9"/>
  <sheetViews>
    <sheetView tabSelected="1" topLeftCell="B259" zoomScale="90" zoomScaleNormal="90" workbookViewId="0">
      <selection activeCell="I306" sqref="I306"/>
    </sheetView>
  </sheetViews>
  <sheetFormatPr defaultColWidth="9.140625" defaultRowHeight="12.75"/>
  <cols>
    <col min="1" max="1" width="20.42578125"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441" t="s">
        <v>0</v>
      </c>
      <c r="C1" s="442"/>
      <c r="D1" s="442"/>
      <c r="E1" s="442"/>
      <c r="F1" s="442"/>
      <c r="G1" s="443"/>
    </row>
    <row r="2" spans="1:7">
      <c r="B2" s="3"/>
      <c r="C2" s="4"/>
      <c r="D2" s="4"/>
      <c r="E2" s="4"/>
      <c r="F2" s="4"/>
      <c r="G2" s="5"/>
    </row>
    <row r="3" spans="1:7">
      <c r="B3" s="444" t="s">
        <v>1</v>
      </c>
      <c r="C3" s="445"/>
      <c r="D3" s="445"/>
      <c r="E3" s="445"/>
      <c r="F3" s="445"/>
      <c r="G3" s="446"/>
    </row>
    <row r="4" spans="1:7">
      <c r="B4" s="444" t="s">
        <v>2</v>
      </c>
      <c r="C4" s="445"/>
      <c r="D4" s="445"/>
      <c r="E4" s="445"/>
      <c r="F4" s="445"/>
      <c r="G4" s="446"/>
    </row>
    <row r="5" spans="1:7" ht="15" customHeight="1">
      <c r="B5" s="447" t="s">
        <v>89</v>
      </c>
      <c r="C5" s="448"/>
      <c r="D5" s="448"/>
      <c r="E5" s="448"/>
      <c r="F5" s="448"/>
      <c r="G5" s="449"/>
    </row>
    <row r="6" spans="1:7" ht="15" customHeight="1">
      <c r="B6" s="447"/>
      <c r="C6" s="448"/>
      <c r="D6" s="448"/>
      <c r="E6" s="448"/>
      <c r="F6" s="448"/>
      <c r="G6" s="449"/>
    </row>
    <row r="7" spans="1:7" ht="6.75" customHeight="1">
      <c r="B7" s="170"/>
      <c r="C7" s="171"/>
      <c r="D7" s="171"/>
      <c r="E7" s="171"/>
      <c r="F7" s="171"/>
      <c r="G7" s="172"/>
    </row>
    <row r="8" spans="1:7">
      <c r="B8" s="444" t="s">
        <v>94</v>
      </c>
      <c r="C8" s="445"/>
      <c r="D8" s="445"/>
      <c r="E8" s="445"/>
      <c r="F8" s="445"/>
      <c r="G8" s="446"/>
    </row>
    <row r="9" spans="1:7">
      <c r="B9" s="6"/>
      <c r="C9" s="42"/>
      <c r="D9" s="4"/>
      <c r="E9" s="4"/>
      <c r="F9" s="4"/>
      <c r="G9" s="5"/>
    </row>
    <row r="10" spans="1:7" ht="15.75" customHeight="1">
      <c r="B10" s="486" t="str">
        <f>"Monthly Portfolio Statement of the Quantum Equity Fund of Funds for the period ended "&amp;TEXT(Index!C23,"mmmmmmmmmm dd, yyyy")</f>
        <v>Monthly Portfolio Statement of the Quantum Equity Fund of Funds for the period ended January 31, 2017</v>
      </c>
      <c r="C10" s="487"/>
      <c r="D10" s="487"/>
      <c r="E10" s="487"/>
      <c r="F10" s="487"/>
      <c r="G10" s="488"/>
    </row>
    <row r="11" spans="1:7" ht="15.75" customHeight="1">
      <c r="B11" s="181"/>
      <c r="C11" s="182"/>
      <c r="D11" s="182"/>
      <c r="E11" s="182"/>
      <c r="F11" s="182"/>
      <c r="G11" s="183"/>
    </row>
    <row r="12" spans="1:7" s="229" customFormat="1" ht="30" customHeight="1">
      <c r="B12" s="257" t="s">
        <v>3</v>
      </c>
      <c r="C12" s="204" t="s">
        <v>4</v>
      </c>
      <c r="D12" s="258" t="s">
        <v>97</v>
      </c>
      <c r="E12" s="204" t="s">
        <v>5</v>
      </c>
      <c r="F12" s="204" t="s">
        <v>147</v>
      </c>
      <c r="G12" s="259" t="s">
        <v>6</v>
      </c>
    </row>
    <row r="13" spans="1:7">
      <c r="A13" s="2" t="s">
        <v>384</v>
      </c>
      <c r="B13" s="8"/>
      <c r="C13" s="9"/>
      <c r="D13" s="123"/>
      <c r="E13" s="10"/>
      <c r="F13" s="10"/>
      <c r="G13" s="11"/>
    </row>
    <row r="14" spans="1:7">
      <c r="B14" s="8"/>
      <c r="C14" s="9" t="s">
        <v>176</v>
      </c>
      <c r="D14" s="123"/>
      <c r="E14" s="10"/>
      <c r="F14" s="10"/>
      <c r="G14" s="11"/>
    </row>
    <row r="15" spans="1:7">
      <c r="B15" s="8"/>
      <c r="C15" s="9"/>
      <c r="D15" s="123"/>
      <c r="E15" s="10"/>
      <c r="F15" s="10"/>
      <c r="G15" s="11"/>
    </row>
    <row r="16" spans="1:7">
      <c r="A16" s="2" t="str">
        <f t="shared" ref="A16:A22" si="0">+$A$13&amp;D16</f>
        <v>QEFFINF179K01XQ0</v>
      </c>
      <c r="B16" s="245">
        <v>1</v>
      </c>
      <c r="C16" s="196" t="s">
        <v>629</v>
      </c>
      <c r="D16" s="123" t="s">
        <v>206</v>
      </c>
      <c r="E16" s="158">
        <f>+VLOOKUP(A16,Holding!A:I,9,0)</f>
        <v>359459.15130000003</v>
      </c>
      <c r="F16" s="157">
        <f>+ROUND(+VLOOKUP(A16,Holding!A:R,18,0)/100000,2)</f>
        <v>167.4</v>
      </c>
      <c r="G16" s="16">
        <f t="shared" ref="G16:G22" si="1">ROUND(F16/$F$40,4)</f>
        <v>0.14630000000000001</v>
      </c>
    </row>
    <row r="17" spans="1:7">
      <c r="A17" s="2" t="str">
        <f t="shared" si="0"/>
        <v>QEFFINF769K01AX2</v>
      </c>
      <c r="B17" s="245">
        <f t="shared" ref="B17:B22" si="2">+B16+1</f>
        <v>2</v>
      </c>
      <c r="C17" s="196" t="s">
        <v>630</v>
      </c>
      <c r="D17" s="123" t="s">
        <v>200</v>
      </c>
      <c r="E17" s="158">
        <f>+VLOOKUP(A17,Holding!A:I,9,0)</f>
        <v>417333.98790000001</v>
      </c>
      <c r="F17" s="157">
        <f>+ROUND(+VLOOKUP(A17,Holding!A:R,18,0)/100000,2)</f>
        <v>159.4</v>
      </c>
      <c r="G17" s="16">
        <f t="shared" si="1"/>
        <v>0.13930000000000001</v>
      </c>
    </row>
    <row r="18" spans="1:7">
      <c r="A18" s="2" t="str">
        <f t="shared" si="0"/>
        <v>QEFFINF090I01IW2</v>
      </c>
      <c r="B18" s="245">
        <f t="shared" si="2"/>
        <v>3</v>
      </c>
      <c r="C18" s="196" t="s">
        <v>631</v>
      </c>
      <c r="D18" s="123" t="s">
        <v>205</v>
      </c>
      <c r="E18" s="158">
        <f>+VLOOKUP(A18,Holding!A:I,9,0)</f>
        <v>462193.39429999999</v>
      </c>
      <c r="F18" s="157">
        <f>+ROUND(+VLOOKUP(A18,Holding!A:R,18,0)/100000,2)</f>
        <v>156.66999999999999</v>
      </c>
      <c r="G18" s="16">
        <f t="shared" si="1"/>
        <v>0.13689999999999999</v>
      </c>
    </row>
    <row r="19" spans="1:7">
      <c r="A19" s="2" t="str">
        <f t="shared" si="0"/>
        <v>QEFFINF200K01UJ5</v>
      </c>
      <c r="B19" s="245">
        <f t="shared" si="2"/>
        <v>4</v>
      </c>
      <c r="C19" s="196" t="s">
        <v>632</v>
      </c>
      <c r="D19" s="123" t="s">
        <v>208</v>
      </c>
      <c r="E19" s="158">
        <f>+VLOOKUP(A19,Holding!A:I,9,0)</f>
        <v>90634.136499999993</v>
      </c>
      <c r="F19" s="157">
        <f>+ROUND(+VLOOKUP(A19,Holding!A:R,18,0)/100000,2)</f>
        <v>155.43</v>
      </c>
      <c r="G19" s="16">
        <f t="shared" si="1"/>
        <v>0.1358</v>
      </c>
    </row>
    <row r="20" spans="1:7">
      <c r="A20" s="2" t="str">
        <f t="shared" si="0"/>
        <v>QEFFINF209K01YY7</v>
      </c>
      <c r="B20" s="245">
        <f t="shared" si="2"/>
        <v>5</v>
      </c>
      <c r="C20" s="196" t="s">
        <v>633</v>
      </c>
      <c r="D20" s="123" t="s">
        <v>185</v>
      </c>
      <c r="E20" s="158">
        <f>+VLOOKUP(A20,Holding!A:I,9,0)</f>
        <v>83616.338099999994</v>
      </c>
      <c r="F20" s="157">
        <f>+ROUND(+VLOOKUP(A20,Holding!A:R,18,0)/100000,2)</f>
        <v>155.33000000000001</v>
      </c>
      <c r="G20" s="16">
        <f t="shared" si="1"/>
        <v>0.13569999999999999</v>
      </c>
    </row>
    <row r="21" spans="1:7">
      <c r="A21" s="2" t="str">
        <f t="shared" si="0"/>
        <v>QEFFINF090I01FK3</v>
      </c>
      <c r="B21" s="245">
        <f t="shared" si="2"/>
        <v>6</v>
      </c>
      <c r="C21" s="196" t="s">
        <v>634</v>
      </c>
      <c r="D21" s="123" t="s">
        <v>505</v>
      </c>
      <c r="E21" s="158">
        <f>+VLOOKUP(A21,Holding!A:I,9,0)</f>
        <v>30872.2176</v>
      </c>
      <c r="F21" s="157">
        <f>+ROUND(+VLOOKUP(A21,Holding!A:R,18,0)/100000,2)</f>
        <v>154.15</v>
      </c>
      <c r="G21" s="16">
        <f t="shared" si="1"/>
        <v>0.13469999999999999</v>
      </c>
    </row>
    <row r="22" spans="1:7">
      <c r="A22" s="2" t="str">
        <f t="shared" si="0"/>
        <v>QEFFINF109K016L0</v>
      </c>
      <c r="B22" s="245">
        <f t="shared" si="2"/>
        <v>7</v>
      </c>
      <c r="C22" s="196" t="s">
        <v>635</v>
      </c>
      <c r="D22" s="123" t="s">
        <v>207</v>
      </c>
      <c r="E22" s="158">
        <f>+VLOOKUP(A22,Holding!A:I,9,0)</f>
        <v>457276.28639999998</v>
      </c>
      <c r="F22" s="157">
        <f>+ROUND(+VLOOKUP(A22,Holding!A:R,18,0)/100000,2)</f>
        <v>152.27000000000001</v>
      </c>
      <c r="G22" s="16">
        <f t="shared" si="1"/>
        <v>0.1331</v>
      </c>
    </row>
    <row r="23" spans="1:7">
      <c r="B23" s="245"/>
      <c r="C23" s="10"/>
      <c r="D23" s="10"/>
      <c r="E23" s="13"/>
      <c r="F23" s="13"/>
      <c r="G23" s="11"/>
    </row>
    <row r="24" spans="1:7">
      <c r="B24" s="245"/>
      <c r="C24" s="9" t="s">
        <v>217</v>
      </c>
      <c r="D24" s="9"/>
      <c r="E24" s="18"/>
      <c r="F24" s="18">
        <f>SUM(F16:F23)</f>
        <v>1100.6500000000001</v>
      </c>
      <c r="G24" s="59">
        <f>SUM(G16:G23)</f>
        <v>0.96179999999999999</v>
      </c>
    </row>
    <row r="25" spans="1:7">
      <c r="B25" s="245"/>
      <c r="C25" s="9"/>
      <c r="D25" s="9"/>
      <c r="E25" s="18"/>
      <c r="F25" s="18"/>
      <c r="G25" s="19"/>
    </row>
    <row r="26" spans="1:7">
      <c r="B26" s="246"/>
      <c r="C26" s="21" t="s">
        <v>56</v>
      </c>
      <c r="D26" s="21"/>
      <c r="E26" s="18"/>
      <c r="F26" s="18"/>
      <c r="G26" s="19"/>
    </row>
    <row r="27" spans="1:7">
      <c r="B27" s="246"/>
      <c r="C27" s="9"/>
      <c r="D27" s="9"/>
      <c r="E27" s="18"/>
      <c r="F27" s="18"/>
      <c r="G27" s="19"/>
    </row>
    <row r="28" spans="1:7">
      <c r="B28" s="245" t="s">
        <v>7</v>
      </c>
      <c r="C28" s="21" t="s">
        <v>8</v>
      </c>
      <c r="D28" s="21"/>
      <c r="E28" s="205" t="s">
        <v>9</v>
      </c>
      <c r="F28" s="205" t="s">
        <v>9</v>
      </c>
      <c r="G28" s="206" t="s">
        <v>9</v>
      </c>
    </row>
    <row r="29" spans="1:7">
      <c r="B29" s="245" t="s">
        <v>10</v>
      </c>
      <c r="C29" s="9" t="s">
        <v>11</v>
      </c>
      <c r="D29" s="9"/>
      <c r="E29" s="205" t="s">
        <v>9</v>
      </c>
      <c r="F29" s="205" t="s">
        <v>9</v>
      </c>
      <c r="G29" s="206" t="s">
        <v>9</v>
      </c>
    </row>
    <row r="30" spans="1:7">
      <c r="B30" s="245" t="s">
        <v>12</v>
      </c>
      <c r="C30" s="9" t="s">
        <v>13</v>
      </c>
      <c r="D30" s="9"/>
      <c r="E30" s="205" t="s">
        <v>9</v>
      </c>
      <c r="F30" s="205" t="s">
        <v>9</v>
      </c>
      <c r="G30" s="206" t="s">
        <v>9</v>
      </c>
    </row>
    <row r="31" spans="1:7">
      <c r="B31" s="245"/>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621</v>
      </c>
      <c r="B35" s="245" t="s">
        <v>7</v>
      </c>
      <c r="C35" s="9" t="s">
        <v>82</v>
      </c>
      <c r="D35" s="9"/>
      <c r="E35" s="18"/>
      <c r="F35" s="157">
        <f>+ROUND(+VLOOKUP(A35,Holding!A:R,18,0)/100000,2)</f>
        <v>42.98</v>
      </c>
      <c r="G35" s="59">
        <f>ROUND(F35/$F$40,4)</f>
        <v>3.7600000000000001E-2</v>
      </c>
    </row>
    <row r="36" spans="1:7">
      <c r="B36" s="8"/>
      <c r="C36" s="9"/>
      <c r="D36" s="9"/>
      <c r="E36" s="18"/>
      <c r="F36" s="18"/>
      <c r="G36" s="19"/>
    </row>
    <row r="37" spans="1:7">
      <c r="B37" s="8"/>
      <c r="C37" s="9" t="s">
        <v>83</v>
      </c>
      <c r="D37" s="9"/>
      <c r="E37" s="18"/>
      <c r="F37" s="18"/>
      <c r="G37" s="19"/>
    </row>
    <row r="38" spans="1:7">
      <c r="B38" s="8"/>
      <c r="C38" s="14" t="s">
        <v>35</v>
      </c>
      <c r="D38" s="14"/>
      <c r="E38" s="18"/>
      <c r="F38" s="15">
        <f>+F40-F24-F35</f>
        <v>0.71999999999982123</v>
      </c>
      <c r="G38" s="59">
        <f>+G40-G24-G35</f>
        <v>6.0000000000001025E-4</v>
      </c>
    </row>
    <row r="39" spans="1:7">
      <c r="B39" s="8"/>
      <c r="C39" s="9"/>
      <c r="D39" s="9"/>
      <c r="E39" s="13"/>
      <c r="F39" s="10"/>
      <c r="G39" s="11"/>
    </row>
    <row r="40" spans="1:7" s="24" customFormat="1">
      <c r="A40" s="24" t="s">
        <v>413</v>
      </c>
      <c r="B40" s="20"/>
      <c r="C40" s="9" t="s">
        <v>14</v>
      </c>
      <c r="D40" s="9"/>
      <c r="E40" s="18"/>
      <c r="F40" s="157">
        <f>+ROUND(+VLOOKUP(A40,Holding!A:R,18,0)/100000,2)</f>
        <v>1144.3499999999999</v>
      </c>
      <c r="G40" s="19">
        <v>1</v>
      </c>
    </row>
    <row r="41" spans="1:7" ht="13.5" thickBot="1">
      <c r="B41" s="25"/>
      <c r="C41" s="26"/>
      <c r="D41" s="26"/>
      <c r="E41" s="27"/>
      <c r="F41" s="26"/>
      <c r="G41" s="28"/>
    </row>
    <row r="42" spans="1:7">
      <c r="B42" s="29"/>
      <c r="C42" s="342"/>
      <c r="D42" s="342"/>
      <c r="E42" s="343"/>
      <c r="F42" s="343"/>
      <c r="G42" s="32"/>
    </row>
    <row r="43" spans="1:7">
      <c r="B43" s="6" t="s">
        <v>15</v>
      </c>
      <c r="C43" s="109"/>
      <c r="D43" s="109"/>
      <c r="E43" s="109"/>
      <c r="F43" s="279"/>
      <c r="G43" s="5"/>
    </row>
    <row r="44" spans="1:7">
      <c r="B44" s="80" t="s">
        <v>16</v>
      </c>
      <c r="C44" s="109" t="str">
        <f>"Total Non performing Assets provided for and its percentage to NAV as on "&amp;TEXT(Index!C23,"mmmmmmmmmm dd, yyyy")&amp;" - NIL"</f>
        <v>Total Non performing Assets provided for and its percentage to NAV as on January 31, 2017 - NIL</v>
      </c>
      <c r="D44" s="109"/>
      <c r="E44" s="109"/>
      <c r="F44" s="279"/>
      <c r="G44" s="5"/>
    </row>
    <row r="45" spans="1:7">
      <c r="B45" s="80" t="s">
        <v>17</v>
      </c>
      <c r="C45" s="109" t="s">
        <v>19</v>
      </c>
      <c r="D45" s="109"/>
      <c r="E45" s="109"/>
      <c r="F45" s="279"/>
      <c r="G45" s="5"/>
    </row>
    <row r="46" spans="1:7" ht="25.5">
      <c r="B46" s="80"/>
      <c r="C46" s="348" t="s">
        <v>171</v>
      </c>
      <c r="D46" s="352" t="str">
        <f>"As on "&amp;TEXT(Index!C24,"mmmmmmmmmm dd, yyyy")&amp;" (Rs.)"</f>
        <v>As on January 31, 2017 (Rs.)</v>
      </c>
      <c r="E46" s="279"/>
      <c r="F46" s="279"/>
      <c r="G46" s="138"/>
    </row>
    <row r="47" spans="1:7">
      <c r="A47" s="2" t="s">
        <v>378</v>
      </c>
      <c r="B47" s="80"/>
      <c r="C47" s="349" t="s">
        <v>21</v>
      </c>
      <c r="D47" s="407">
        <f>+VLOOKUP(A47,Bloomberg!C:E,3,0)</f>
        <v>27.896000000000001</v>
      </c>
      <c r="E47" s="279"/>
      <c r="F47" s="279"/>
      <c r="G47" s="138"/>
    </row>
    <row r="48" spans="1:7">
      <c r="A48" s="2" t="s">
        <v>377</v>
      </c>
      <c r="B48" s="80"/>
      <c r="C48" s="349" t="s">
        <v>22</v>
      </c>
      <c r="D48" s="407">
        <f>+VLOOKUP(A48,Bloomberg!C:E,3,0)</f>
        <v>27.896000000000001</v>
      </c>
      <c r="E48" s="279"/>
      <c r="F48" s="279"/>
      <c r="G48" s="138"/>
    </row>
    <row r="49" spans="2:8" ht="9" customHeight="1">
      <c r="B49" s="80"/>
      <c r="C49" s="109"/>
      <c r="D49" s="287"/>
      <c r="E49" s="287"/>
      <c r="F49" s="279"/>
      <c r="G49" s="5"/>
    </row>
    <row r="50" spans="2:8">
      <c r="B50" s="80" t="s">
        <v>18</v>
      </c>
      <c r="C50" s="109" t="str">
        <f>"Dividend/ Bonus declared during the period ended "&amp;TEXT(Index!C23,"mmmmmmmmmm dd, yyyy")&amp;" - NIL"</f>
        <v>Dividend/ Bonus declared during the period ended January 31, 2017 - NIL</v>
      </c>
      <c r="D50" s="109"/>
      <c r="E50" s="109"/>
      <c r="F50" s="279"/>
      <c r="G50" s="5"/>
    </row>
    <row r="51" spans="2:8">
      <c r="B51" s="80" t="s">
        <v>23</v>
      </c>
      <c r="C51" s="109" t="str">
        <f>"Total outstanding exposure in derivative instruments as on "&amp;TEXT(Index!C23,"mmmmmmmmmm dd, yyyy")&amp;" - NIL"</f>
        <v>Total outstanding exposure in derivative instruments as on January 31, 2017 - NIL</v>
      </c>
      <c r="D51" s="109"/>
      <c r="E51" s="109"/>
      <c r="F51" s="279"/>
      <c r="G51" s="5"/>
    </row>
    <row r="52" spans="2:8" ht="25.5" customHeight="1">
      <c r="B52" s="237" t="s">
        <v>24</v>
      </c>
      <c r="C52" s="480" t="str">
        <f>"Total Market value of investments in Foreign Securities/American Depository Receipts/Global Depository Receipts as on "&amp;TEXT(Index!C23,"mmmmmmmmmm dd, yyyy")&amp;" - NIL"</f>
        <v>Total Market value of investments in Foreign Securities/American Depository Receipts/Global Depository Receipts as on January 31, 2017 - NIL</v>
      </c>
      <c r="D52" s="485"/>
      <c r="E52" s="485"/>
      <c r="F52" s="485"/>
      <c r="G52" s="5"/>
    </row>
    <row r="53" spans="2:8" ht="14.25">
      <c r="B53" s="80" t="s">
        <v>25</v>
      </c>
      <c r="C53" s="109" t="s">
        <v>187</v>
      </c>
      <c r="D53" s="288"/>
      <c r="E53" s="288"/>
      <c r="F53" s="288"/>
      <c r="G53" s="5"/>
    </row>
    <row r="54" spans="2:8" s="24" customFormat="1">
      <c r="B54" s="80" t="s">
        <v>26</v>
      </c>
      <c r="C54" s="109" t="s">
        <v>188</v>
      </c>
      <c r="D54" s="109"/>
      <c r="E54" s="109"/>
      <c r="F54" s="289"/>
      <c r="G54" s="5"/>
    </row>
    <row r="55" spans="2:8" s="24" customFormat="1">
      <c r="B55" s="80" t="s">
        <v>27</v>
      </c>
      <c r="C55" s="109" t="s">
        <v>189</v>
      </c>
      <c r="D55" s="109"/>
      <c r="E55" s="109"/>
      <c r="F55" s="289"/>
      <c r="G55" s="5"/>
    </row>
    <row r="56" spans="2:8" s="24" customFormat="1">
      <c r="B56" s="80" t="s">
        <v>37</v>
      </c>
      <c r="C56" s="1" t="str">
        <f>"Total Brokerage Paid for Buying/ Selling of Investment for the month ended "&amp;TEXT(Index!C23,"mmmmmmmmmm dd, yyyy")&amp;"- NIL"</f>
        <v>Total Brokerage Paid for Buying/ Selling of Investment for the month ended January 31, 2017- NIL</v>
      </c>
      <c r="D56" s="109"/>
      <c r="E56" s="109"/>
      <c r="F56" s="289"/>
      <c r="G56" s="5"/>
    </row>
    <row r="57" spans="2:8" s="24" customFormat="1">
      <c r="B57" s="33"/>
      <c r="C57" s="109"/>
      <c r="D57" s="109"/>
      <c r="E57" s="109"/>
      <c r="F57" s="289"/>
      <c r="G57" s="5"/>
    </row>
    <row r="58" spans="2:8" s="24" customFormat="1">
      <c r="B58" s="80" t="s">
        <v>47</v>
      </c>
      <c r="C58" s="109" t="s">
        <v>48</v>
      </c>
      <c r="D58" s="109"/>
      <c r="E58" s="109"/>
      <c r="F58" s="289"/>
      <c r="G58" s="5"/>
    </row>
    <row r="59" spans="2:8" ht="13.5" thickBot="1">
      <c r="B59" s="36" t="s">
        <v>28</v>
      </c>
      <c r="C59" s="176" t="s">
        <v>29</v>
      </c>
      <c r="D59" s="37"/>
      <c r="E59" s="37"/>
      <c r="F59" s="67"/>
      <c r="G59" s="38"/>
    </row>
    <row r="60" spans="2:8">
      <c r="D60" s="1"/>
      <c r="E60" s="39"/>
      <c r="F60" s="1"/>
      <c r="G60" s="40"/>
    </row>
    <row r="61" spans="2:8">
      <c r="B61" s="484" t="s">
        <v>94</v>
      </c>
      <c r="C61" s="484"/>
      <c r="D61" s="484"/>
      <c r="E61" s="484"/>
      <c r="F61" s="484"/>
      <c r="G61" s="484"/>
      <c r="H61" s="484"/>
    </row>
    <row r="62" spans="2:8">
      <c r="B62" s="484" t="s">
        <v>636</v>
      </c>
      <c r="C62" s="484"/>
      <c r="D62" s="484"/>
      <c r="E62" s="484"/>
      <c r="F62" s="484"/>
      <c r="G62" s="484"/>
      <c r="H62" s="484"/>
    </row>
    <row r="63" spans="2:8">
      <c r="B63" s="410" t="s">
        <v>637</v>
      </c>
      <c r="C63" s="411" t="s">
        <v>638</v>
      </c>
      <c r="D63" s="411" t="s">
        <v>97</v>
      </c>
      <c r="E63" s="411" t="s">
        <v>639</v>
      </c>
      <c r="F63" s="412" t="s">
        <v>5</v>
      </c>
      <c r="G63" s="413" t="s">
        <v>640</v>
      </c>
      <c r="H63" s="414" t="s">
        <v>641</v>
      </c>
    </row>
    <row r="64" spans="2:8">
      <c r="B64" s="415"/>
      <c r="C64" s="411" t="s">
        <v>58</v>
      </c>
      <c r="D64" s="416"/>
      <c r="E64" s="416"/>
      <c r="F64" s="417"/>
      <c r="G64" s="418"/>
      <c r="H64" s="419"/>
    </row>
    <row r="65" spans="2:8">
      <c r="B65" s="415"/>
      <c r="C65" s="411" t="s">
        <v>8</v>
      </c>
      <c r="D65" s="416"/>
      <c r="E65" s="416"/>
      <c r="F65" s="417"/>
      <c r="G65" s="418"/>
      <c r="H65" s="420"/>
    </row>
    <row r="66" spans="2:8">
      <c r="B66" s="415">
        <v>1</v>
      </c>
      <c r="C66" s="421" t="s">
        <v>642</v>
      </c>
      <c r="D66" s="421" t="s">
        <v>101</v>
      </c>
      <c r="E66" s="421" t="s">
        <v>64</v>
      </c>
      <c r="F66" s="417">
        <v>5626</v>
      </c>
      <c r="G66" s="418">
        <v>72.392271237080138</v>
      </c>
      <c r="H66" s="422">
        <v>6.3260808796608057</v>
      </c>
    </row>
    <row r="67" spans="2:8">
      <c r="B67" s="415">
        <v>2</v>
      </c>
      <c r="C67" s="421" t="s">
        <v>643</v>
      </c>
      <c r="D67" s="421" t="s">
        <v>204</v>
      </c>
      <c r="E67" s="421" t="s">
        <v>64</v>
      </c>
      <c r="F67" s="417">
        <v>17926</v>
      </c>
      <c r="G67" s="418">
        <v>48.212335276322428</v>
      </c>
      <c r="H67" s="422">
        <v>4.2130897006463517</v>
      </c>
    </row>
    <row r="68" spans="2:8">
      <c r="B68" s="415">
        <v>3</v>
      </c>
      <c r="C68" s="421" t="s">
        <v>210</v>
      </c>
      <c r="D68" s="421" t="s">
        <v>201</v>
      </c>
      <c r="E68" s="421" t="s">
        <v>64</v>
      </c>
      <c r="F68" s="417">
        <v>16317</v>
      </c>
      <c r="G68" s="418">
        <v>42.480277811089294</v>
      </c>
      <c r="H68" s="422">
        <v>3.7121873458469796</v>
      </c>
    </row>
    <row r="69" spans="2:8">
      <c r="B69" s="415">
        <v>4</v>
      </c>
      <c r="C69" s="421" t="s">
        <v>644</v>
      </c>
      <c r="D69" s="421" t="s">
        <v>99</v>
      </c>
      <c r="E69" s="421" t="s">
        <v>63</v>
      </c>
      <c r="F69" s="417">
        <v>3279</v>
      </c>
      <c r="G69" s="418">
        <v>30.446601312062075</v>
      </c>
      <c r="H69" s="422">
        <v>2.6606108514003308</v>
      </c>
    </row>
    <row r="70" spans="2:8">
      <c r="B70" s="415">
        <v>5</v>
      </c>
      <c r="C70" s="421" t="s">
        <v>645</v>
      </c>
      <c r="D70" s="421" t="s">
        <v>184</v>
      </c>
      <c r="E70" s="421" t="s">
        <v>64</v>
      </c>
      <c r="F70" s="417">
        <v>6094</v>
      </c>
      <c r="G70" s="418">
        <v>28.399581048551429</v>
      </c>
      <c r="H70" s="422">
        <v>2.481729659693225</v>
      </c>
    </row>
    <row r="71" spans="2:8">
      <c r="B71" s="415">
        <v>6</v>
      </c>
      <c r="C71" s="421" t="s">
        <v>646</v>
      </c>
      <c r="D71" s="421" t="s">
        <v>168</v>
      </c>
      <c r="E71" s="421" t="s">
        <v>64</v>
      </c>
      <c r="F71" s="417">
        <v>1892</v>
      </c>
      <c r="G71" s="418">
        <v>23.684833256418475</v>
      </c>
      <c r="H71" s="422">
        <v>2.0697260666223931</v>
      </c>
    </row>
    <row r="72" spans="2:8">
      <c r="B72" s="415">
        <v>7</v>
      </c>
      <c r="C72" s="421" t="s">
        <v>647</v>
      </c>
      <c r="D72" s="421" t="s">
        <v>102</v>
      </c>
      <c r="E72" s="421" t="s">
        <v>71</v>
      </c>
      <c r="F72" s="417">
        <v>1622</v>
      </c>
      <c r="G72" s="418">
        <v>23.459581721332363</v>
      </c>
      <c r="H72" s="422">
        <v>2.0500422052809544</v>
      </c>
    </row>
    <row r="73" spans="2:8">
      <c r="B73" s="415">
        <v>8</v>
      </c>
      <c r="C73" s="421" t="s">
        <v>648</v>
      </c>
      <c r="D73" s="421" t="s">
        <v>108</v>
      </c>
      <c r="E73" s="421" t="s">
        <v>73</v>
      </c>
      <c r="F73" s="417">
        <v>6385</v>
      </c>
      <c r="G73" s="418">
        <v>22.233570443029585</v>
      </c>
      <c r="H73" s="422">
        <v>1.9429058166391369</v>
      </c>
    </row>
    <row r="74" spans="2:8">
      <c r="B74" s="415">
        <v>9</v>
      </c>
      <c r="C74" s="423" t="s">
        <v>649</v>
      </c>
      <c r="D74" s="423" t="s">
        <v>143</v>
      </c>
      <c r="E74" s="423" t="s">
        <v>74</v>
      </c>
      <c r="F74" s="417">
        <v>5182</v>
      </c>
      <c r="G74" s="418">
        <v>18.988004769354159</v>
      </c>
      <c r="H74" s="422">
        <v>1.6592883723862621</v>
      </c>
    </row>
    <row r="75" spans="2:8">
      <c r="B75" s="415">
        <v>10</v>
      </c>
      <c r="C75" s="423" t="s">
        <v>650</v>
      </c>
      <c r="D75" s="423" t="s">
        <v>119</v>
      </c>
      <c r="E75" s="423" t="s">
        <v>62</v>
      </c>
      <c r="F75" s="417">
        <v>311</v>
      </c>
      <c r="G75" s="418">
        <v>18.343845879018311</v>
      </c>
      <c r="H75" s="422">
        <v>1.602997815811904</v>
      </c>
    </row>
    <row r="76" spans="2:8">
      <c r="B76" s="415">
        <v>11</v>
      </c>
      <c r="C76" s="424" t="s">
        <v>651</v>
      </c>
      <c r="D76" s="424" t="s">
        <v>502</v>
      </c>
      <c r="E76" s="424" t="s">
        <v>62</v>
      </c>
      <c r="F76" s="417">
        <v>5348</v>
      </c>
      <c r="G76" s="418">
        <v>17.806362776564452</v>
      </c>
      <c r="H76" s="422">
        <v>1.5560292441747634</v>
      </c>
    </row>
    <row r="77" spans="2:8">
      <c r="B77" s="415">
        <v>12</v>
      </c>
      <c r="C77" s="423" t="s">
        <v>652</v>
      </c>
      <c r="D77" s="423" t="s">
        <v>130</v>
      </c>
      <c r="E77" s="423" t="s">
        <v>68</v>
      </c>
      <c r="F77" s="417">
        <v>6655</v>
      </c>
      <c r="G77" s="418">
        <v>17.176844941498942</v>
      </c>
      <c r="H77" s="422">
        <v>1.501018112851485</v>
      </c>
    </row>
    <row r="78" spans="2:8">
      <c r="B78" s="415">
        <v>13</v>
      </c>
      <c r="C78" s="421" t="s">
        <v>653</v>
      </c>
      <c r="D78" s="421" t="s">
        <v>106</v>
      </c>
      <c r="E78" s="421" t="s">
        <v>62</v>
      </c>
      <c r="F78" s="417">
        <v>3001</v>
      </c>
      <c r="G78" s="418">
        <v>15.710176009582433</v>
      </c>
      <c r="H78" s="422">
        <v>1.3728515816950884</v>
      </c>
    </row>
    <row r="79" spans="2:8">
      <c r="B79" s="415">
        <v>14</v>
      </c>
      <c r="C79" s="423" t="s">
        <v>654</v>
      </c>
      <c r="D79" s="423" t="s">
        <v>100</v>
      </c>
      <c r="E79" s="423" t="s">
        <v>65</v>
      </c>
      <c r="F79" s="417">
        <v>1085</v>
      </c>
      <c r="G79" s="418">
        <v>14.824213393135006</v>
      </c>
      <c r="H79" s="422">
        <v>1.295430731758672</v>
      </c>
    </row>
    <row r="80" spans="2:8">
      <c r="B80" s="415">
        <v>15</v>
      </c>
      <c r="C80" s="421" t="s">
        <v>655</v>
      </c>
      <c r="D80" s="421" t="s">
        <v>215</v>
      </c>
      <c r="E80" s="421" t="s">
        <v>63</v>
      </c>
      <c r="F80" s="417">
        <v>3174</v>
      </c>
      <c r="G80" s="418">
        <v>14.350804568551695</v>
      </c>
      <c r="H80" s="422">
        <v>1.2540613636993205</v>
      </c>
    </row>
    <row r="81" spans="2:8">
      <c r="B81" s="415">
        <v>16</v>
      </c>
      <c r="C81" s="421" t="s">
        <v>656</v>
      </c>
      <c r="D81" s="421" t="s">
        <v>216</v>
      </c>
      <c r="E81" s="421" t="s">
        <v>64</v>
      </c>
      <c r="F81" s="417">
        <v>980</v>
      </c>
      <c r="G81" s="418">
        <v>13.685073767742685</v>
      </c>
      <c r="H81" s="422">
        <v>1.1958857212166185</v>
      </c>
    </row>
    <row r="82" spans="2:8">
      <c r="B82" s="415">
        <v>17</v>
      </c>
      <c r="C82" s="421" t="s">
        <v>657</v>
      </c>
      <c r="D82" s="421" t="s">
        <v>112</v>
      </c>
      <c r="E82" s="421" t="s">
        <v>64</v>
      </c>
      <c r="F82" s="417">
        <v>1764</v>
      </c>
      <c r="G82" s="418">
        <v>13.659689285181651</v>
      </c>
      <c r="H82" s="422">
        <v>1.1936674693642415</v>
      </c>
    </row>
    <row r="83" spans="2:8">
      <c r="B83" s="415">
        <v>18</v>
      </c>
      <c r="C83" s="421" t="s">
        <v>658</v>
      </c>
      <c r="D83" s="421" t="s">
        <v>126</v>
      </c>
      <c r="E83" s="421" t="s">
        <v>63</v>
      </c>
      <c r="F83" s="417">
        <v>1683</v>
      </c>
      <c r="G83" s="418">
        <v>13.651054265811362</v>
      </c>
      <c r="H83" s="422">
        <v>1.1929128883848026</v>
      </c>
    </row>
    <row r="84" spans="2:8">
      <c r="B84" s="415">
        <v>19</v>
      </c>
      <c r="C84" s="421" t="s">
        <v>659</v>
      </c>
      <c r="D84" s="421" t="s">
        <v>110</v>
      </c>
      <c r="E84" s="421" t="s">
        <v>75</v>
      </c>
      <c r="F84" s="417">
        <v>2150</v>
      </c>
      <c r="G84" s="418">
        <v>13.579284260529803</v>
      </c>
      <c r="H84" s="422">
        <v>1.186641184922731</v>
      </c>
    </row>
    <row r="85" spans="2:8">
      <c r="B85" s="415">
        <v>20</v>
      </c>
      <c r="C85" s="423" t="s">
        <v>660</v>
      </c>
      <c r="D85" s="423" t="s">
        <v>98</v>
      </c>
      <c r="E85" s="423" t="s">
        <v>74</v>
      </c>
      <c r="F85" s="417">
        <v>1217</v>
      </c>
      <c r="G85" s="418">
        <v>12.723331473436804</v>
      </c>
      <c r="H85" s="422">
        <v>1.1118427780239035</v>
      </c>
    </row>
    <row r="86" spans="2:8">
      <c r="B86" s="415">
        <v>21</v>
      </c>
      <c r="C86" s="425" t="s">
        <v>661</v>
      </c>
      <c r="D86" s="425" t="s">
        <v>662</v>
      </c>
      <c r="E86" s="425" t="s">
        <v>74</v>
      </c>
      <c r="F86" s="417">
        <v>2414</v>
      </c>
      <c r="G86" s="418">
        <v>12.58320926944927</v>
      </c>
      <c r="H86" s="422">
        <v>1.0995980400109395</v>
      </c>
    </row>
    <row r="87" spans="2:8">
      <c r="B87" s="415">
        <v>22</v>
      </c>
      <c r="C87" s="425" t="s">
        <v>663</v>
      </c>
      <c r="D87" s="425" t="s">
        <v>664</v>
      </c>
      <c r="E87" s="425" t="s">
        <v>665</v>
      </c>
      <c r="F87" s="417">
        <v>1416</v>
      </c>
      <c r="G87" s="418">
        <v>10.263548408172115</v>
      </c>
      <c r="H87" s="422">
        <v>0.89689183987300902</v>
      </c>
    </row>
    <row r="88" spans="2:8">
      <c r="B88" s="415">
        <v>23</v>
      </c>
      <c r="C88" s="421" t="s">
        <v>666</v>
      </c>
      <c r="D88" s="421" t="s">
        <v>576</v>
      </c>
      <c r="E88" s="421" t="s">
        <v>69</v>
      </c>
      <c r="F88" s="417">
        <v>1082</v>
      </c>
      <c r="G88" s="418">
        <v>9.8512252607993513</v>
      </c>
      <c r="H88" s="422">
        <v>0.86086051312689693</v>
      </c>
    </row>
    <row r="89" spans="2:8">
      <c r="B89" s="415">
        <v>24</v>
      </c>
      <c r="C89" s="421" t="s">
        <v>667</v>
      </c>
      <c r="D89" s="421" t="s">
        <v>127</v>
      </c>
      <c r="E89" s="421" t="s">
        <v>75</v>
      </c>
      <c r="F89" s="417">
        <v>662</v>
      </c>
      <c r="G89" s="418">
        <v>9.7295430419421667</v>
      </c>
      <c r="H89" s="422">
        <v>0.85022717416746307</v>
      </c>
    </row>
    <row r="90" spans="2:8">
      <c r="B90" s="415">
        <v>25</v>
      </c>
      <c r="C90" s="425" t="s">
        <v>668</v>
      </c>
      <c r="D90" s="425" t="s">
        <v>492</v>
      </c>
      <c r="E90" s="425" t="s">
        <v>75</v>
      </c>
      <c r="F90" s="417">
        <v>1425</v>
      </c>
      <c r="G90" s="418">
        <v>9.7154968878628747</v>
      </c>
      <c r="H90" s="422">
        <v>0.84899973503293491</v>
      </c>
    </row>
    <row r="91" spans="2:8">
      <c r="B91" s="415">
        <v>26</v>
      </c>
      <c r="C91" s="421" t="s">
        <v>669</v>
      </c>
      <c r="D91" s="421" t="s">
        <v>670</v>
      </c>
      <c r="E91" s="421" t="s">
        <v>64</v>
      </c>
      <c r="F91" s="417">
        <v>12492</v>
      </c>
      <c r="G91" s="418">
        <v>9.5004153190355414</v>
      </c>
      <c r="H91" s="422">
        <v>0.83020458774890926</v>
      </c>
    </row>
    <row r="92" spans="2:8">
      <c r="B92" s="415">
        <v>27</v>
      </c>
      <c r="C92" s="425" t="s">
        <v>671</v>
      </c>
      <c r="D92" s="425" t="s">
        <v>672</v>
      </c>
      <c r="E92" s="425" t="s">
        <v>673</v>
      </c>
      <c r="F92" s="417">
        <v>924</v>
      </c>
      <c r="G92" s="418">
        <v>8.7801975527466585</v>
      </c>
      <c r="H92" s="422">
        <v>0.76726753987551144</v>
      </c>
    </row>
    <row r="93" spans="2:8">
      <c r="B93" s="415">
        <v>28</v>
      </c>
      <c r="C93" s="421" t="s">
        <v>674</v>
      </c>
      <c r="D93" s="421" t="s">
        <v>104</v>
      </c>
      <c r="E93" s="421" t="s">
        <v>68</v>
      </c>
      <c r="F93" s="417">
        <v>978</v>
      </c>
      <c r="G93" s="418">
        <v>8.3663630462543068</v>
      </c>
      <c r="H93" s="422">
        <v>0.7311041412954129</v>
      </c>
    </row>
    <row r="94" spans="2:8">
      <c r="B94" s="415">
        <v>29</v>
      </c>
      <c r="C94" s="423" t="s">
        <v>675</v>
      </c>
      <c r="D94" s="423" t="s">
        <v>114</v>
      </c>
      <c r="E94" s="423" t="s">
        <v>70</v>
      </c>
      <c r="F94" s="417">
        <v>4763</v>
      </c>
      <c r="G94" s="418">
        <v>8.2089378823894013</v>
      </c>
      <c r="H94" s="422">
        <v>0.71734736447262493</v>
      </c>
    </row>
    <row r="95" spans="2:8">
      <c r="B95" s="415">
        <v>30</v>
      </c>
      <c r="C95" s="421" t="s">
        <v>676</v>
      </c>
      <c r="D95" s="421" t="s">
        <v>677</v>
      </c>
      <c r="E95" s="421" t="s">
        <v>71</v>
      </c>
      <c r="F95" s="417">
        <v>2402</v>
      </c>
      <c r="G95" s="418">
        <v>7.8542099309690876</v>
      </c>
      <c r="H95" s="422">
        <v>0.68634905936886315</v>
      </c>
    </row>
    <row r="96" spans="2:8">
      <c r="B96" s="415">
        <v>31</v>
      </c>
      <c r="C96" s="421" t="s">
        <v>678</v>
      </c>
      <c r="D96" s="421" t="s">
        <v>679</v>
      </c>
      <c r="E96" s="421" t="s">
        <v>62</v>
      </c>
      <c r="F96" s="417">
        <v>2006</v>
      </c>
      <c r="G96" s="418">
        <v>7.7476691060068443</v>
      </c>
      <c r="H96" s="422">
        <v>0.67703886831974303</v>
      </c>
    </row>
    <row r="97" spans="2:8">
      <c r="B97" s="415">
        <v>32</v>
      </c>
      <c r="C97" s="423" t="s">
        <v>680</v>
      </c>
      <c r="D97" s="423" t="s">
        <v>122</v>
      </c>
      <c r="E97" s="423" t="s">
        <v>76</v>
      </c>
      <c r="F97" s="417">
        <v>1607</v>
      </c>
      <c r="G97" s="418">
        <v>7.5213150661916703</v>
      </c>
      <c r="H97" s="422">
        <v>0.65725866334980565</v>
      </c>
    </row>
    <row r="98" spans="2:8">
      <c r="B98" s="415">
        <v>33</v>
      </c>
      <c r="C98" s="421" t="s">
        <v>681</v>
      </c>
      <c r="D98" s="421" t="s">
        <v>129</v>
      </c>
      <c r="E98" s="421" t="s">
        <v>74</v>
      </c>
      <c r="F98" s="417">
        <v>1102</v>
      </c>
      <c r="G98" s="418">
        <v>7.5141446435441708</v>
      </c>
      <c r="H98" s="422">
        <v>0.65663206781917383</v>
      </c>
    </row>
    <row r="99" spans="2:8">
      <c r="B99" s="415">
        <v>34</v>
      </c>
      <c r="C99" s="421" t="s">
        <v>682</v>
      </c>
      <c r="D99" s="421" t="s">
        <v>120</v>
      </c>
      <c r="E99" s="421" t="s">
        <v>62</v>
      </c>
      <c r="F99" s="417">
        <v>236</v>
      </c>
      <c r="G99" s="418">
        <v>7.4942079174029148</v>
      </c>
      <c r="H99" s="422">
        <v>0.65488987435169466</v>
      </c>
    </row>
    <row r="100" spans="2:8">
      <c r="B100" s="415">
        <v>35</v>
      </c>
      <c r="C100" s="421" t="s">
        <v>683</v>
      </c>
      <c r="D100" s="421" t="s">
        <v>684</v>
      </c>
      <c r="E100" s="421" t="s">
        <v>75</v>
      </c>
      <c r="F100" s="417">
        <v>567</v>
      </c>
      <c r="G100" s="418">
        <v>7.3681010595502654</v>
      </c>
      <c r="H100" s="422">
        <v>0.64386988328603056</v>
      </c>
    </row>
    <row r="101" spans="2:8">
      <c r="B101" s="415">
        <v>36</v>
      </c>
      <c r="C101" s="424" t="s">
        <v>685</v>
      </c>
      <c r="D101" s="424" t="s">
        <v>111</v>
      </c>
      <c r="E101" s="424" t="s">
        <v>62</v>
      </c>
      <c r="F101" s="417">
        <v>251</v>
      </c>
      <c r="G101" s="418">
        <v>7.0996631726346751</v>
      </c>
      <c r="H101" s="422">
        <v>0.620412133518353</v>
      </c>
    </row>
    <row r="102" spans="2:8">
      <c r="B102" s="415">
        <v>37</v>
      </c>
      <c r="C102" s="425" t="s">
        <v>686</v>
      </c>
      <c r="D102" s="425" t="s">
        <v>417</v>
      </c>
      <c r="E102" s="425" t="s">
        <v>418</v>
      </c>
      <c r="F102" s="417">
        <v>2374</v>
      </c>
      <c r="G102" s="418">
        <v>6.9631763150945165</v>
      </c>
      <c r="H102" s="422">
        <v>0.60848507438545041</v>
      </c>
    </row>
    <row r="103" spans="2:8">
      <c r="B103" s="415">
        <v>38</v>
      </c>
      <c r="C103" s="423" t="s">
        <v>687</v>
      </c>
      <c r="D103" s="423" t="s">
        <v>196</v>
      </c>
      <c r="E103" s="423" t="s">
        <v>197</v>
      </c>
      <c r="F103" s="417">
        <v>1392</v>
      </c>
      <c r="G103" s="418">
        <v>6.8091357368431193</v>
      </c>
      <c r="H103" s="422">
        <v>0.5950240634223225</v>
      </c>
    </row>
    <row r="104" spans="2:8">
      <c r="B104" s="415">
        <v>39</v>
      </c>
      <c r="C104" s="421" t="s">
        <v>688</v>
      </c>
      <c r="D104" s="421" t="s">
        <v>689</v>
      </c>
      <c r="E104" s="421" t="s">
        <v>73</v>
      </c>
      <c r="F104" s="417">
        <v>964</v>
      </c>
      <c r="G104" s="418">
        <v>6.8089691780796926</v>
      </c>
      <c r="H104" s="422">
        <v>0.5950095084955237</v>
      </c>
    </row>
    <row r="105" spans="2:8">
      <c r="B105" s="415">
        <v>40</v>
      </c>
      <c r="C105" s="421" t="s">
        <v>690</v>
      </c>
      <c r="D105" s="421" t="s">
        <v>691</v>
      </c>
      <c r="E105" s="421" t="s">
        <v>692</v>
      </c>
      <c r="F105" s="417">
        <v>4520</v>
      </c>
      <c r="G105" s="418">
        <v>6.7819809805837412</v>
      </c>
      <c r="H105" s="422">
        <v>0.59265111419129579</v>
      </c>
    </row>
    <row r="106" spans="2:8">
      <c r="B106" s="415">
        <v>41</v>
      </c>
      <c r="C106" s="421" t="s">
        <v>693</v>
      </c>
      <c r="D106" s="421" t="s">
        <v>694</v>
      </c>
      <c r="E106" s="421" t="s">
        <v>695</v>
      </c>
      <c r="F106" s="417">
        <v>805</v>
      </c>
      <c r="G106" s="418">
        <v>6.7502478299555912</v>
      </c>
      <c r="H106" s="422">
        <v>0.58987807676603388</v>
      </c>
    </row>
    <row r="107" spans="2:8">
      <c r="B107" s="415">
        <v>42</v>
      </c>
      <c r="C107" s="423" t="s">
        <v>696</v>
      </c>
      <c r="D107" s="423" t="s">
        <v>123</v>
      </c>
      <c r="E107" s="423" t="s">
        <v>70</v>
      </c>
      <c r="F107" s="417">
        <v>3247</v>
      </c>
      <c r="G107" s="418">
        <v>6.7278481544117081</v>
      </c>
      <c r="H107" s="422">
        <v>0.58792065566641538</v>
      </c>
    </row>
    <row r="108" spans="2:8">
      <c r="B108" s="415">
        <v>43</v>
      </c>
      <c r="C108" s="423" t="s">
        <v>697</v>
      </c>
      <c r="D108" s="423" t="s">
        <v>109</v>
      </c>
      <c r="E108" s="423" t="s">
        <v>72</v>
      </c>
      <c r="F108" s="417">
        <v>1449</v>
      </c>
      <c r="G108" s="418">
        <v>6.7097186527827555</v>
      </c>
      <c r="H108" s="422">
        <v>0.58633638856644976</v>
      </c>
    </row>
    <row r="109" spans="2:8">
      <c r="B109" s="415">
        <v>44</v>
      </c>
      <c r="C109" s="425" t="s">
        <v>698</v>
      </c>
      <c r="D109" s="425" t="s">
        <v>699</v>
      </c>
      <c r="E109" s="425" t="s">
        <v>67</v>
      </c>
      <c r="F109" s="417">
        <v>435</v>
      </c>
      <c r="G109" s="418">
        <v>6.7046329709098531</v>
      </c>
      <c r="H109" s="422">
        <v>0.58589197047724739</v>
      </c>
    </row>
    <row r="110" spans="2:8">
      <c r="B110" s="415">
        <v>45</v>
      </c>
      <c r="C110" s="421" t="s">
        <v>700</v>
      </c>
      <c r="D110" s="421" t="s">
        <v>701</v>
      </c>
      <c r="E110" s="421" t="s">
        <v>68</v>
      </c>
      <c r="F110" s="417">
        <v>759</v>
      </c>
      <c r="G110" s="418">
        <v>6.652575997181903</v>
      </c>
      <c r="H110" s="422">
        <v>0.58134291267693461</v>
      </c>
    </row>
    <row r="111" spans="2:8">
      <c r="B111" s="415">
        <v>46</v>
      </c>
      <c r="C111" s="421" t="s">
        <v>702</v>
      </c>
      <c r="D111" s="421" t="s">
        <v>107</v>
      </c>
      <c r="E111" s="421" t="s">
        <v>62</v>
      </c>
      <c r="F111" s="417">
        <v>535</v>
      </c>
      <c r="G111" s="418">
        <v>6.635442153904461</v>
      </c>
      <c r="H111" s="422">
        <v>0.57984565231335861</v>
      </c>
    </row>
    <row r="112" spans="2:8">
      <c r="B112" s="415">
        <v>47</v>
      </c>
      <c r="C112" s="421" t="s">
        <v>703</v>
      </c>
      <c r="D112" s="421" t="s">
        <v>704</v>
      </c>
      <c r="E112" s="421" t="s">
        <v>673</v>
      </c>
      <c r="F112" s="417">
        <v>1805</v>
      </c>
      <c r="G112" s="418">
        <v>6.5357840201589923</v>
      </c>
      <c r="H112" s="422">
        <v>0.57113691305685399</v>
      </c>
    </row>
    <row r="113" spans="2:8">
      <c r="B113" s="415">
        <v>48</v>
      </c>
      <c r="C113" s="421" t="s">
        <v>705</v>
      </c>
      <c r="D113" s="421" t="s">
        <v>706</v>
      </c>
      <c r="E113" s="421" t="s">
        <v>695</v>
      </c>
      <c r="F113" s="417">
        <v>507</v>
      </c>
      <c r="G113" s="418">
        <v>6.507783004053695</v>
      </c>
      <c r="H113" s="422">
        <v>0.56869001244760686</v>
      </c>
    </row>
    <row r="114" spans="2:8">
      <c r="B114" s="415">
        <v>49</v>
      </c>
      <c r="C114" s="421" t="s">
        <v>707</v>
      </c>
      <c r="D114" s="421" t="s">
        <v>113</v>
      </c>
      <c r="E114" s="421" t="s">
        <v>708</v>
      </c>
      <c r="F114" s="417">
        <v>2067</v>
      </c>
      <c r="G114" s="418">
        <v>6.3919129143310043</v>
      </c>
      <c r="H114" s="422">
        <v>0.55856457299677442</v>
      </c>
    </row>
    <row r="115" spans="2:8">
      <c r="B115" s="415">
        <v>50</v>
      </c>
      <c r="C115" s="421" t="s">
        <v>709</v>
      </c>
      <c r="D115" s="421" t="s">
        <v>180</v>
      </c>
      <c r="E115" s="421" t="s">
        <v>179</v>
      </c>
      <c r="F115" s="417">
        <v>3203</v>
      </c>
      <c r="G115" s="418">
        <v>6.3186241484533028</v>
      </c>
      <c r="H115" s="422">
        <v>0.5521601509142775</v>
      </c>
    </row>
    <row r="116" spans="2:8">
      <c r="B116" s="415">
        <v>51</v>
      </c>
      <c r="C116" s="421" t="s">
        <v>710</v>
      </c>
      <c r="D116" s="421" t="s">
        <v>214</v>
      </c>
      <c r="E116" s="421" t="s">
        <v>73</v>
      </c>
      <c r="F116" s="417">
        <v>5732</v>
      </c>
      <c r="G116" s="418">
        <v>6.310823548013766</v>
      </c>
      <c r="H116" s="422">
        <v>0.55147848658123255</v>
      </c>
    </row>
    <row r="117" spans="2:8">
      <c r="B117" s="415">
        <v>52</v>
      </c>
      <c r="C117" s="425" t="s">
        <v>711</v>
      </c>
      <c r="D117" s="425" t="s">
        <v>712</v>
      </c>
      <c r="E117" s="425" t="s">
        <v>64</v>
      </c>
      <c r="F117" s="417">
        <v>4459</v>
      </c>
      <c r="G117" s="418">
        <v>6.0442640315395799</v>
      </c>
      <c r="H117" s="422">
        <v>0.52818488034892463</v>
      </c>
    </row>
    <row r="118" spans="2:8">
      <c r="B118" s="415">
        <v>53</v>
      </c>
      <c r="C118" s="426" t="s">
        <v>713</v>
      </c>
      <c r="D118" s="426" t="s">
        <v>714</v>
      </c>
      <c r="E118" s="426" t="s">
        <v>673</v>
      </c>
      <c r="F118" s="417">
        <v>616</v>
      </c>
      <c r="G118" s="418">
        <v>5.9950364388472117</v>
      </c>
      <c r="H118" s="422">
        <v>0.52388307122536437</v>
      </c>
    </row>
    <row r="119" spans="2:8">
      <c r="B119" s="415">
        <v>54</v>
      </c>
      <c r="C119" s="423" t="s">
        <v>715</v>
      </c>
      <c r="D119" s="423" t="s">
        <v>117</v>
      </c>
      <c r="E119" s="423" t="s">
        <v>75</v>
      </c>
      <c r="F119" s="417">
        <v>1023</v>
      </c>
      <c r="G119" s="418">
        <v>5.8864765836335406</v>
      </c>
      <c r="H119" s="422">
        <v>0.51439644492354741</v>
      </c>
    </row>
    <row r="120" spans="2:8">
      <c r="B120" s="415">
        <v>55</v>
      </c>
      <c r="C120" s="421" t="s">
        <v>716</v>
      </c>
      <c r="D120" s="421" t="s">
        <v>103</v>
      </c>
      <c r="E120" s="421" t="s">
        <v>63</v>
      </c>
      <c r="F120" s="417">
        <v>256</v>
      </c>
      <c r="G120" s="418">
        <v>5.7048600485724528</v>
      </c>
      <c r="H120" s="422">
        <v>0.49852567764070377</v>
      </c>
    </row>
    <row r="121" spans="2:8">
      <c r="B121" s="415">
        <v>56</v>
      </c>
      <c r="C121" s="421" t="s">
        <v>717</v>
      </c>
      <c r="D121" s="421" t="s">
        <v>718</v>
      </c>
      <c r="E121" s="421" t="s">
        <v>63</v>
      </c>
      <c r="F121" s="417">
        <v>150</v>
      </c>
      <c r="G121" s="418">
        <v>5.4726618920488397</v>
      </c>
      <c r="H121" s="422">
        <v>0.47823477789166924</v>
      </c>
    </row>
    <row r="122" spans="2:8">
      <c r="B122" s="415">
        <v>57</v>
      </c>
      <c r="C122" s="421" t="s">
        <v>719</v>
      </c>
      <c r="D122" s="421" t="s">
        <v>720</v>
      </c>
      <c r="E122" s="421" t="s">
        <v>673</v>
      </c>
      <c r="F122" s="417">
        <v>2858</v>
      </c>
      <c r="G122" s="418">
        <v>5.4686060694410816</v>
      </c>
      <c r="H122" s="422">
        <v>0.47788035522455591</v>
      </c>
    </row>
    <row r="123" spans="2:8">
      <c r="B123" s="415">
        <v>58</v>
      </c>
      <c r="C123" s="425" t="s">
        <v>721</v>
      </c>
      <c r="D123" s="425" t="s">
        <v>722</v>
      </c>
      <c r="E123" s="425" t="s">
        <v>65</v>
      </c>
      <c r="F123" s="417">
        <v>514</v>
      </c>
      <c r="G123" s="418">
        <v>5.3294801606386519</v>
      </c>
      <c r="H123" s="422">
        <v>0.46572267959840863</v>
      </c>
    </row>
    <row r="124" spans="2:8">
      <c r="B124" s="415">
        <v>59</v>
      </c>
      <c r="C124" s="423" t="s">
        <v>723</v>
      </c>
      <c r="D124" s="423" t="s">
        <v>724</v>
      </c>
      <c r="E124" s="423" t="s">
        <v>75</v>
      </c>
      <c r="F124" s="417">
        <v>129</v>
      </c>
      <c r="G124" s="418">
        <v>5.3150916591826132</v>
      </c>
      <c r="H124" s="422">
        <v>0.46446532404936225</v>
      </c>
    </row>
    <row r="125" spans="2:8">
      <c r="B125" s="415">
        <v>60</v>
      </c>
      <c r="C125" s="425" t="s">
        <v>195</v>
      </c>
      <c r="D125" s="425" t="s">
        <v>209</v>
      </c>
      <c r="E125" s="425" t="s">
        <v>64</v>
      </c>
      <c r="F125" s="417">
        <v>3115</v>
      </c>
      <c r="G125" s="418">
        <v>5.1440434373656503</v>
      </c>
      <c r="H125" s="422">
        <v>0.44951808082787836</v>
      </c>
    </row>
    <row r="126" spans="2:8">
      <c r="B126" s="415">
        <v>61</v>
      </c>
      <c r="C126" s="425" t="s">
        <v>725</v>
      </c>
      <c r="D126" s="425" t="s">
        <v>726</v>
      </c>
      <c r="E126" s="425" t="s">
        <v>179</v>
      </c>
      <c r="F126" s="417">
        <v>859</v>
      </c>
      <c r="G126" s="418">
        <v>4.9465084690064298</v>
      </c>
      <c r="H126" s="422">
        <v>0.43225626316354193</v>
      </c>
    </row>
    <row r="127" spans="2:8">
      <c r="B127" s="415">
        <v>62</v>
      </c>
      <c r="C127" s="426" t="s">
        <v>727</v>
      </c>
      <c r="D127" s="426" t="s">
        <v>728</v>
      </c>
      <c r="E127" s="426" t="s">
        <v>65</v>
      </c>
      <c r="F127" s="417">
        <v>1772</v>
      </c>
      <c r="G127" s="418">
        <v>4.734239346868975</v>
      </c>
      <c r="H127" s="422">
        <v>0.41370688472922745</v>
      </c>
    </row>
    <row r="128" spans="2:8">
      <c r="B128" s="415">
        <v>63</v>
      </c>
      <c r="C128" s="427" t="s">
        <v>729</v>
      </c>
      <c r="D128" s="428" t="s">
        <v>730</v>
      </c>
      <c r="E128" s="428" t="s">
        <v>65</v>
      </c>
      <c r="F128" s="417">
        <v>145</v>
      </c>
      <c r="G128" s="418">
        <v>4.7049627411674741</v>
      </c>
      <c r="H128" s="422">
        <v>0.41114851527369406</v>
      </c>
    </row>
    <row r="129" spans="2:8">
      <c r="B129" s="415">
        <v>64</v>
      </c>
      <c r="C129" s="423" t="s">
        <v>731</v>
      </c>
      <c r="D129" s="423" t="s">
        <v>732</v>
      </c>
      <c r="E129" s="423" t="s">
        <v>179</v>
      </c>
      <c r="F129" s="417">
        <v>1401</v>
      </c>
      <c r="G129" s="418">
        <v>4.6477479820979521</v>
      </c>
      <c r="H129" s="422">
        <v>0.40614873854063988</v>
      </c>
    </row>
    <row r="130" spans="2:8">
      <c r="B130" s="415">
        <v>65</v>
      </c>
      <c r="C130" s="421" t="s">
        <v>733</v>
      </c>
      <c r="D130" s="421" t="s">
        <v>734</v>
      </c>
      <c r="E130" s="421" t="s">
        <v>179</v>
      </c>
      <c r="F130" s="417">
        <v>413</v>
      </c>
      <c r="G130" s="418">
        <v>4.6285029643540296</v>
      </c>
      <c r="H130" s="422">
        <v>0.40446699079743331</v>
      </c>
    </row>
    <row r="131" spans="2:8">
      <c r="B131" s="415">
        <v>66</v>
      </c>
      <c r="C131" s="425" t="s">
        <v>735</v>
      </c>
      <c r="D131" s="425" t="s">
        <v>736</v>
      </c>
      <c r="E131" s="425" t="s">
        <v>65</v>
      </c>
      <c r="F131" s="417">
        <v>449</v>
      </c>
      <c r="G131" s="418">
        <v>4.6219299343148759</v>
      </c>
      <c r="H131" s="422">
        <v>0.4038925990986848</v>
      </c>
    </row>
    <row r="132" spans="2:8">
      <c r="B132" s="415">
        <v>67</v>
      </c>
      <c r="C132" s="423" t="s">
        <v>737</v>
      </c>
      <c r="D132" s="423" t="s">
        <v>738</v>
      </c>
      <c r="E132" s="423" t="s">
        <v>68</v>
      </c>
      <c r="F132" s="417">
        <v>1634</v>
      </c>
      <c r="G132" s="418">
        <v>4.5091930314482029</v>
      </c>
      <c r="H132" s="422">
        <v>0.3940409567414308</v>
      </c>
    </row>
    <row r="133" spans="2:8">
      <c r="B133" s="415">
        <v>68</v>
      </c>
      <c r="C133" s="421" t="s">
        <v>739</v>
      </c>
      <c r="D133" s="421" t="s">
        <v>740</v>
      </c>
      <c r="E133" s="421" t="s">
        <v>179</v>
      </c>
      <c r="F133" s="417">
        <v>2463</v>
      </c>
      <c r="G133" s="418">
        <v>4.4426683095722845</v>
      </c>
      <c r="H133" s="422">
        <v>0.38822761832985131</v>
      </c>
    </row>
    <row r="134" spans="2:8">
      <c r="B134" s="415">
        <v>69</v>
      </c>
      <c r="C134" s="421" t="s">
        <v>741</v>
      </c>
      <c r="D134" s="421" t="s">
        <v>742</v>
      </c>
      <c r="E134" s="421" t="s">
        <v>197</v>
      </c>
      <c r="F134" s="417">
        <v>2313</v>
      </c>
      <c r="G134" s="418">
        <v>4.2205242735461619</v>
      </c>
      <c r="H134" s="422">
        <v>0.36881530932474688</v>
      </c>
    </row>
    <row r="135" spans="2:8">
      <c r="B135" s="415">
        <v>70</v>
      </c>
      <c r="C135" s="421" t="s">
        <v>743</v>
      </c>
      <c r="D135" s="421" t="s">
        <v>173</v>
      </c>
      <c r="E135" s="421" t="s">
        <v>63</v>
      </c>
      <c r="F135" s="417">
        <v>891</v>
      </c>
      <c r="G135" s="418">
        <v>4.0800227682856915</v>
      </c>
      <c r="H135" s="422">
        <v>0.35653742563905633</v>
      </c>
    </row>
    <row r="136" spans="2:8">
      <c r="B136" s="415">
        <v>71</v>
      </c>
      <c r="C136" s="421" t="s">
        <v>744</v>
      </c>
      <c r="D136" s="421" t="s">
        <v>170</v>
      </c>
      <c r="E136" s="421" t="s">
        <v>68</v>
      </c>
      <c r="F136" s="417">
        <v>416</v>
      </c>
      <c r="G136" s="418">
        <v>4.0404901079703954</v>
      </c>
      <c r="H136" s="422">
        <v>0.35308281919738665</v>
      </c>
    </row>
    <row r="137" spans="2:8">
      <c r="B137" s="415">
        <v>72</v>
      </c>
      <c r="C137" s="421" t="s">
        <v>745</v>
      </c>
      <c r="D137" s="421" t="s">
        <v>115</v>
      </c>
      <c r="E137" s="421" t="s">
        <v>75</v>
      </c>
      <c r="F137" s="417">
        <v>134</v>
      </c>
      <c r="G137" s="418">
        <v>4.0368808416293671</v>
      </c>
      <c r="H137" s="422">
        <v>0.3527674193570528</v>
      </c>
    </row>
    <row r="138" spans="2:8">
      <c r="B138" s="415">
        <v>73</v>
      </c>
      <c r="C138" s="425" t="s">
        <v>746</v>
      </c>
      <c r="D138" s="425" t="s">
        <v>747</v>
      </c>
      <c r="E138" s="425" t="s">
        <v>63</v>
      </c>
      <c r="F138" s="417">
        <v>2045</v>
      </c>
      <c r="G138" s="418">
        <v>3.9780991042102345</v>
      </c>
      <c r="H138" s="422">
        <v>0.34763071044039778</v>
      </c>
    </row>
    <row r="139" spans="2:8">
      <c r="B139" s="415">
        <v>74</v>
      </c>
      <c r="C139" s="426" t="s">
        <v>748</v>
      </c>
      <c r="D139" s="426" t="s">
        <v>749</v>
      </c>
      <c r="E139" s="426" t="s">
        <v>68</v>
      </c>
      <c r="F139" s="417">
        <v>628</v>
      </c>
      <c r="G139" s="418">
        <v>3.9475005435069486</v>
      </c>
      <c r="H139" s="422">
        <v>0.34495682044492754</v>
      </c>
    </row>
    <row r="140" spans="2:8">
      <c r="B140" s="415">
        <v>75</v>
      </c>
      <c r="C140" s="423" t="s">
        <v>750</v>
      </c>
      <c r="D140" s="423" t="s">
        <v>751</v>
      </c>
      <c r="E140" s="423" t="s">
        <v>65</v>
      </c>
      <c r="F140" s="417">
        <v>1125</v>
      </c>
      <c r="G140" s="418">
        <v>3.8866177415555665</v>
      </c>
      <c r="H140" s="422">
        <v>0.33963650761673242</v>
      </c>
    </row>
    <row r="141" spans="2:8">
      <c r="B141" s="415">
        <v>76</v>
      </c>
      <c r="C141" s="421" t="s">
        <v>752</v>
      </c>
      <c r="D141" s="421" t="s">
        <v>753</v>
      </c>
      <c r="E141" s="421" t="s">
        <v>96</v>
      </c>
      <c r="F141" s="417">
        <v>565</v>
      </c>
      <c r="G141" s="418">
        <v>3.8074203890433216</v>
      </c>
      <c r="H141" s="422">
        <v>0.33271575697739009</v>
      </c>
    </row>
    <row r="142" spans="2:8">
      <c r="B142" s="415">
        <v>77</v>
      </c>
      <c r="C142" s="425" t="s">
        <v>754</v>
      </c>
      <c r="D142" s="425" t="s">
        <v>755</v>
      </c>
      <c r="E142" s="425" t="s">
        <v>179</v>
      </c>
      <c r="F142" s="417">
        <v>1138</v>
      </c>
      <c r="G142" s="418">
        <v>3.62578793653898</v>
      </c>
      <c r="H142" s="422">
        <v>0.31684359873068113</v>
      </c>
    </row>
    <row r="143" spans="2:8">
      <c r="B143" s="415">
        <v>78</v>
      </c>
      <c r="C143" s="425" t="s">
        <v>756</v>
      </c>
      <c r="D143" s="425" t="s">
        <v>757</v>
      </c>
      <c r="E143" s="425" t="s">
        <v>75</v>
      </c>
      <c r="F143" s="417">
        <v>330</v>
      </c>
      <c r="G143" s="418">
        <v>3.6161153307010503</v>
      </c>
      <c r="H143" s="422">
        <v>0.31599834707878266</v>
      </c>
    </row>
    <row r="144" spans="2:8">
      <c r="B144" s="415">
        <v>79</v>
      </c>
      <c r="C144" s="426" t="s">
        <v>758</v>
      </c>
      <c r="D144" s="426" t="s">
        <v>759</v>
      </c>
      <c r="E144" s="426" t="s">
        <v>68</v>
      </c>
      <c r="F144" s="417">
        <v>62</v>
      </c>
      <c r="G144" s="418">
        <v>3.6029624012816592</v>
      </c>
      <c r="H144" s="422">
        <v>0.31484896339610968</v>
      </c>
    </row>
    <row r="145" spans="2:8">
      <c r="B145" s="415">
        <v>80</v>
      </c>
      <c r="C145" s="423" t="s">
        <v>760</v>
      </c>
      <c r="D145" s="423" t="s">
        <v>761</v>
      </c>
      <c r="E145" s="423" t="s">
        <v>68</v>
      </c>
      <c r="F145" s="417">
        <v>112</v>
      </c>
      <c r="G145" s="418">
        <v>3.5005621180302278</v>
      </c>
      <c r="H145" s="422">
        <v>0.30590059828918753</v>
      </c>
    </row>
    <row r="146" spans="2:8">
      <c r="B146" s="415">
        <v>81</v>
      </c>
      <c r="C146" s="425" t="s">
        <v>762</v>
      </c>
      <c r="D146" s="425" t="s">
        <v>763</v>
      </c>
      <c r="E146" s="425" t="s">
        <v>695</v>
      </c>
      <c r="F146" s="417">
        <v>86</v>
      </c>
      <c r="G146" s="418">
        <v>3.4032911504241206</v>
      </c>
      <c r="H146" s="422">
        <v>0.2974004642582509</v>
      </c>
    </row>
    <row r="147" spans="2:8">
      <c r="B147" s="415">
        <v>82</v>
      </c>
      <c r="C147" s="421" t="s">
        <v>764</v>
      </c>
      <c r="D147" s="421" t="s">
        <v>765</v>
      </c>
      <c r="E147" s="421" t="s">
        <v>65</v>
      </c>
      <c r="F147" s="417">
        <v>2060</v>
      </c>
      <c r="G147" s="418">
        <v>3.3857011111272683</v>
      </c>
      <c r="H147" s="422">
        <v>0.29586333868715398</v>
      </c>
    </row>
    <row r="148" spans="2:8">
      <c r="B148" s="415">
        <v>83</v>
      </c>
      <c r="C148" s="426" t="s">
        <v>766</v>
      </c>
      <c r="D148" s="426" t="s">
        <v>767</v>
      </c>
      <c r="E148" s="426" t="s">
        <v>768</v>
      </c>
      <c r="F148" s="417">
        <v>1209</v>
      </c>
      <c r="G148" s="418">
        <v>3.3172699147344122</v>
      </c>
      <c r="H148" s="422">
        <v>0.2898834008336304</v>
      </c>
    </row>
    <row r="149" spans="2:8">
      <c r="B149" s="415">
        <v>84</v>
      </c>
      <c r="C149" s="423" t="s">
        <v>769</v>
      </c>
      <c r="D149" s="423" t="s">
        <v>770</v>
      </c>
      <c r="E149" s="423" t="s">
        <v>74</v>
      </c>
      <c r="F149" s="417">
        <v>801</v>
      </c>
      <c r="G149" s="418">
        <v>3.2478923904291599</v>
      </c>
      <c r="H149" s="422">
        <v>0.28382076704019227</v>
      </c>
    </row>
    <row r="150" spans="2:8">
      <c r="B150" s="415">
        <v>85</v>
      </c>
      <c r="C150" s="425" t="s">
        <v>771</v>
      </c>
      <c r="D150" s="425" t="s">
        <v>772</v>
      </c>
      <c r="E150" s="425" t="s">
        <v>75</v>
      </c>
      <c r="F150" s="417">
        <v>457</v>
      </c>
      <c r="G150" s="418">
        <v>3.1978870258480905</v>
      </c>
      <c r="H150" s="422">
        <v>0.27945099143637425</v>
      </c>
    </row>
    <row r="151" spans="2:8">
      <c r="B151" s="415">
        <v>86</v>
      </c>
      <c r="C151" s="421" t="s">
        <v>773</v>
      </c>
      <c r="D151" s="421" t="s">
        <v>118</v>
      </c>
      <c r="E151" s="421" t="s">
        <v>69</v>
      </c>
      <c r="F151" s="417">
        <v>84</v>
      </c>
      <c r="G151" s="418">
        <v>3.1159843830514151</v>
      </c>
      <c r="H151" s="422">
        <v>0.27229383593157019</v>
      </c>
    </row>
    <row r="152" spans="2:8">
      <c r="B152" s="415">
        <v>87</v>
      </c>
      <c r="C152" s="421" t="s">
        <v>774</v>
      </c>
      <c r="D152" s="421" t="s">
        <v>128</v>
      </c>
      <c r="E152" s="421" t="s">
        <v>69</v>
      </c>
      <c r="F152" s="417">
        <v>220</v>
      </c>
      <c r="G152" s="418">
        <v>3.1058761860100463</v>
      </c>
      <c r="H152" s="422">
        <v>0.27141051964740737</v>
      </c>
    </row>
    <row r="153" spans="2:8">
      <c r="B153" s="415">
        <v>88</v>
      </c>
      <c r="C153" s="425" t="s">
        <v>775</v>
      </c>
      <c r="D153" s="425" t="s">
        <v>776</v>
      </c>
      <c r="E153" s="425" t="s">
        <v>695</v>
      </c>
      <c r="F153" s="417">
        <v>1210</v>
      </c>
      <c r="G153" s="418">
        <v>3.0840166409527132</v>
      </c>
      <c r="H153" s="422">
        <v>0.2695002984640934</v>
      </c>
    </row>
    <row r="154" spans="2:8">
      <c r="B154" s="415">
        <v>89</v>
      </c>
      <c r="C154" s="425" t="s">
        <v>777</v>
      </c>
      <c r="D154" s="425" t="s">
        <v>778</v>
      </c>
      <c r="E154" s="425" t="s">
        <v>673</v>
      </c>
      <c r="F154" s="417">
        <v>574</v>
      </c>
      <c r="G154" s="418">
        <v>3.03362820820881</v>
      </c>
      <c r="H154" s="422">
        <v>0.2650970480135949</v>
      </c>
    </row>
    <row r="155" spans="2:8">
      <c r="B155" s="415">
        <v>90</v>
      </c>
      <c r="C155" s="425" t="s">
        <v>779</v>
      </c>
      <c r="D155" s="425" t="s">
        <v>780</v>
      </c>
      <c r="E155" s="425" t="s">
        <v>68</v>
      </c>
      <c r="F155" s="417">
        <v>126</v>
      </c>
      <c r="G155" s="418">
        <v>3.0336112587119715</v>
      </c>
      <c r="H155" s="422">
        <v>0.26509556686255437</v>
      </c>
    </row>
    <row r="156" spans="2:8">
      <c r="B156" s="415">
        <v>91</v>
      </c>
      <c r="C156" s="425" t="s">
        <v>781</v>
      </c>
      <c r="D156" s="425" t="s">
        <v>782</v>
      </c>
      <c r="E156" s="425" t="s">
        <v>692</v>
      </c>
      <c r="F156" s="417">
        <v>1241</v>
      </c>
      <c r="G156" s="418">
        <v>2.962757519214033</v>
      </c>
      <c r="H156" s="422">
        <v>0.25890393232711534</v>
      </c>
    </row>
    <row r="157" spans="2:8">
      <c r="B157" s="415">
        <v>92</v>
      </c>
      <c r="C157" s="421" t="s">
        <v>783</v>
      </c>
      <c r="D157" s="421" t="s">
        <v>784</v>
      </c>
      <c r="E157" s="421" t="s">
        <v>75</v>
      </c>
      <c r="F157" s="417">
        <v>841</v>
      </c>
      <c r="G157" s="418">
        <v>2.9482381425454611</v>
      </c>
      <c r="H157" s="422">
        <v>0.25763514009891131</v>
      </c>
    </row>
    <row r="158" spans="2:8">
      <c r="B158" s="415">
        <v>93</v>
      </c>
      <c r="C158" s="425" t="s">
        <v>785</v>
      </c>
      <c r="D158" s="425" t="s">
        <v>786</v>
      </c>
      <c r="E158" s="425" t="s">
        <v>695</v>
      </c>
      <c r="F158" s="417">
        <v>218</v>
      </c>
      <c r="G158" s="418">
        <v>2.9465880928565724</v>
      </c>
      <c r="H158" s="422">
        <v>0.25749094863193572</v>
      </c>
    </row>
    <row r="159" spans="2:8">
      <c r="B159" s="415">
        <v>94</v>
      </c>
      <c r="C159" s="426" t="s">
        <v>787</v>
      </c>
      <c r="D159" s="426" t="s">
        <v>788</v>
      </c>
      <c r="E159" s="426" t="s">
        <v>75</v>
      </c>
      <c r="F159" s="417">
        <v>620</v>
      </c>
      <c r="G159" s="418">
        <v>2.9427398918805721</v>
      </c>
      <c r="H159" s="422">
        <v>0.25715466921702906</v>
      </c>
    </row>
    <row r="160" spans="2:8">
      <c r="B160" s="415">
        <v>95</v>
      </c>
      <c r="C160" s="425" t="s">
        <v>789</v>
      </c>
      <c r="D160" s="425" t="s">
        <v>790</v>
      </c>
      <c r="E160" s="425" t="s">
        <v>64</v>
      </c>
      <c r="F160" s="417">
        <v>1078</v>
      </c>
      <c r="G160" s="418">
        <v>2.9345257108729683</v>
      </c>
      <c r="H160" s="422">
        <v>0.25643686367610197</v>
      </c>
    </row>
    <row r="161" spans="2:8">
      <c r="B161" s="415">
        <v>96</v>
      </c>
      <c r="C161" s="426" t="s">
        <v>791</v>
      </c>
      <c r="D161" s="426" t="s">
        <v>792</v>
      </c>
      <c r="E161" s="426" t="s">
        <v>179</v>
      </c>
      <c r="F161" s="417">
        <v>91</v>
      </c>
      <c r="G161" s="418">
        <v>2.6898379062382576</v>
      </c>
      <c r="H161" s="422">
        <v>0.23505454183519028</v>
      </c>
    </row>
    <row r="162" spans="2:8">
      <c r="B162" s="415">
        <v>97</v>
      </c>
      <c r="C162" s="425" t="s">
        <v>793</v>
      </c>
      <c r="D162" s="425" t="s">
        <v>794</v>
      </c>
      <c r="E162" s="425" t="s">
        <v>768</v>
      </c>
      <c r="F162" s="417">
        <v>1421</v>
      </c>
      <c r="G162" s="418">
        <v>2.6711704823894715</v>
      </c>
      <c r="H162" s="422">
        <v>0.23342326779081632</v>
      </c>
    </row>
    <row r="163" spans="2:8">
      <c r="B163" s="415">
        <v>98</v>
      </c>
      <c r="C163" s="426" t="s">
        <v>795</v>
      </c>
      <c r="D163" s="426" t="s">
        <v>796</v>
      </c>
      <c r="E163" s="426" t="s">
        <v>75</v>
      </c>
      <c r="F163" s="417">
        <v>2090</v>
      </c>
      <c r="G163" s="418">
        <v>2.6444349566211001</v>
      </c>
      <c r="H163" s="422">
        <v>0.23108695349260786</v>
      </c>
    </row>
    <row r="164" spans="2:8">
      <c r="B164" s="415">
        <v>99</v>
      </c>
      <c r="C164" s="425" t="s">
        <v>797</v>
      </c>
      <c r="D164" s="425" t="s">
        <v>798</v>
      </c>
      <c r="E164" s="425" t="s">
        <v>695</v>
      </c>
      <c r="F164" s="417">
        <v>278</v>
      </c>
      <c r="G164" s="418">
        <v>2.6147020229939617</v>
      </c>
      <c r="H164" s="422">
        <v>0.22848870730277812</v>
      </c>
    </row>
    <row r="165" spans="2:8">
      <c r="B165" s="415">
        <v>100</v>
      </c>
      <c r="C165" s="421" t="s">
        <v>799</v>
      </c>
      <c r="D165" s="421" t="s">
        <v>800</v>
      </c>
      <c r="E165" s="421" t="s">
        <v>64</v>
      </c>
      <c r="F165" s="417">
        <v>3071</v>
      </c>
      <c r="G165" s="418">
        <v>2.5644605604721158</v>
      </c>
      <c r="H165" s="422">
        <v>0.22409830001213291</v>
      </c>
    </row>
    <row r="166" spans="2:8">
      <c r="B166" s="415">
        <v>101</v>
      </c>
      <c r="C166" s="421" t="s">
        <v>801</v>
      </c>
      <c r="D166" s="421" t="s">
        <v>802</v>
      </c>
      <c r="E166" s="421" t="s">
        <v>68</v>
      </c>
      <c r="F166" s="417">
        <v>310</v>
      </c>
      <c r="G166" s="418">
        <v>2.4824786179254112</v>
      </c>
      <c r="H166" s="422">
        <v>0.21693421480856614</v>
      </c>
    </row>
    <row r="167" spans="2:8">
      <c r="B167" s="415">
        <v>102</v>
      </c>
      <c r="C167" s="425" t="s">
        <v>803</v>
      </c>
      <c r="D167" s="425" t="s">
        <v>804</v>
      </c>
      <c r="E167" s="425" t="s">
        <v>64</v>
      </c>
      <c r="F167" s="417">
        <v>1634</v>
      </c>
      <c r="G167" s="418">
        <v>2.4522592559729794</v>
      </c>
      <c r="H167" s="422">
        <v>0.21429346152681372</v>
      </c>
    </row>
    <row r="168" spans="2:8">
      <c r="B168" s="415">
        <v>103</v>
      </c>
      <c r="C168" s="425" t="s">
        <v>805</v>
      </c>
      <c r="D168" s="425" t="s">
        <v>806</v>
      </c>
      <c r="E168" s="425" t="s">
        <v>179</v>
      </c>
      <c r="F168" s="417">
        <v>5</v>
      </c>
      <c r="G168" s="418">
        <v>2.440742072871279</v>
      </c>
      <c r="H168" s="422">
        <v>0.2132870193947716</v>
      </c>
    </row>
    <row r="169" spans="2:8">
      <c r="B169" s="415">
        <v>104</v>
      </c>
      <c r="C169" s="423" t="s">
        <v>807</v>
      </c>
      <c r="D169" s="423" t="s">
        <v>133</v>
      </c>
      <c r="E169" s="423" t="s">
        <v>96</v>
      </c>
      <c r="F169" s="417">
        <v>448</v>
      </c>
      <c r="G169" s="418">
        <v>2.439622708802879</v>
      </c>
      <c r="H169" s="422">
        <v>0.21318920249374781</v>
      </c>
    </row>
    <row r="170" spans="2:8">
      <c r="B170" s="415">
        <v>105</v>
      </c>
      <c r="C170" s="421" t="s">
        <v>808</v>
      </c>
      <c r="D170" s="421" t="s">
        <v>809</v>
      </c>
      <c r="E170" s="421" t="s">
        <v>810</v>
      </c>
      <c r="F170" s="417">
        <v>652</v>
      </c>
      <c r="G170" s="418">
        <v>2.4005779351579375</v>
      </c>
      <c r="H170" s="422">
        <v>0.20977723058314099</v>
      </c>
    </row>
    <row r="171" spans="2:8">
      <c r="B171" s="415">
        <v>106</v>
      </c>
      <c r="C171" s="426" t="s">
        <v>811</v>
      </c>
      <c r="D171" s="426" t="s">
        <v>812</v>
      </c>
      <c r="E171" s="426" t="s">
        <v>695</v>
      </c>
      <c r="F171" s="417">
        <v>55</v>
      </c>
      <c r="G171" s="418">
        <v>2.3877548336056722</v>
      </c>
      <c r="H171" s="422">
        <v>0.20865666928341228</v>
      </c>
    </row>
    <row r="172" spans="2:8">
      <c r="B172" s="415">
        <v>107</v>
      </c>
      <c r="C172" s="425" t="s">
        <v>813</v>
      </c>
      <c r="D172" s="425" t="s">
        <v>131</v>
      </c>
      <c r="E172" s="425" t="s">
        <v>213</v>
      </c>
      <c r="F172" s="417">
        <v>2200</v>
      </c>
      <c r="G172" s="418">
        <v>2.3769526415199209</v>
      </c>
      <c r="H172" s="422">
        <v>0.20771270745372608</v>
      </c>
    </row>
    <row r="173" spans="2:8">
      <c r="B173" s="415">
        <v>108</v>
      </c>
      <c r="C173" s="425" t="s">
        <v>814</v>
      </c>
      <c r="D173" s="425" t="s">
        <v>167</v>
      </c>
      <c r="E173" s="425" t="s">
        <v>76</v>
      </c>
      <c r="F173" s="417">
        <v>636</v>
      </c>
      <c r="G173" s="418">
        <v>2.3768497338605448</v>
      </c>
      <c r="H173" s="422">
        <v>0.20770371475097998</v>
      </c>
    </row>
    <row r="174" spans="2:8">
      <c r="B174" s="415">
        <v>109</v>
      </c>
      <c r="C174" s="425" t="s">
        <v>815</v>
      </c>
      <c r="D174" s="425" t="s">
        <v>816</v>
      </c>
      <c r="E174" s="425" t="s">
        <v>673</v>
      </c>
      <c r="F174" s="417">
        <v>908</v>
      </c>
      <c r="G174" s="418">
        <v>2.3730808921706896</v>
      </c>
      <c r="H174" s="422">
        <v>0.20737437023746721</v>
      </c>
    </row>
    <row r="175" spans="2:8">
      <c r="B175" s="415">
        <v>110</v>
      </c>
      <c r="C175" s="425" t="s">
        <v>817</v>
      </c>
      <c r="D175" s="425" t="s">
        <v>818</v>
      </c>
      <c r="E175" s="425" t="s">
        <v>819</v>
      </c>
      <c r="F175" s="417">
        <v>1880</v>
      </c>
      <c r="G175" s="418">
        <v>2.332105483563832</v>
      </c>
      <c r="H175" s="422">
        <v>0.20379368759697891</v>
      </c>
    </row>
    <row r="176" spans="2:8">
      <c r="B176" s="415">
        <v>111</v>
      </c>
      <c r="C176" s="426" t="s">
        <v>820</v>
      </c>
      <c r="D176" s="426" t="s">
        <v>821</v>
      </c>
      <c r="E176" s="426" t="s">
        <v>197</v>
      </c>
      <c r="F176" s="417">
        <v>1082</v>
      </c>
      <c r="G176" s="418">
        <v>2.3217167238173304</v>
      </c>
      <c r="H176" s="422">
        <v>0.20288585402203135</v>
      </c>
    </row>
    <row r="177" spans="2:8">
      <c r="B177" s="415">
        <v>112</v>
      </c>
      <c r="C177" s="421" t="s">
        <v>822</v>
      </c>
      <c r="D177" s="421" t="s">
        <v>823</v>
      </c>
      <c r="E177" s="421" t="s">
        <v>69</v>
      </c>
      <c r="F177" s="417">
        <v>592</v>
      </c>
      <c r="G177" s="418">
        <v>2.202683892411446</v>
      </c>
      <c r="H177" s="422">
        <v>0.19248403479546516</v>
      </c>
    </row>
    <row r="178" spans="2:8">
      <c r="B178" s="415">
        <v>113</v>
      </c>
      <c r="C178" s="421" t="s">
        <v>824</v>
      </c>
      <c r="D178" s="421" t="s">
        <v>825</v>
      </c>
      <c r="E178" s="421" t="s">
        <v>673</v>
      </c>
      <c r="F178" s="417">
        <v>458</v>
      </c>
      <c r="G178" s="418">
        <v>2.198058907165783</v>
      </c>
      <c r="H178" s="422">
        <v>0.1920798752045127</v>
      </c>
    </row>
    <row r="179" spans="2:8">
      <c r="B179" s="415">
        <v>114</v>
      </c>
      <c r="C179" s="425" t="s">
        <v>826</v>
      </c>
      <c r="D179" s="425" t="s">
        <v>827</v>
      </c>
      <c r="E179" s="425" t="s">
        <v>65</v>
      </c>
      <c r="F179" s="417">
        <v>1622</v>
      </c>
      <c r="G179" s="418">
        <v>2.1114351415111816</v>
      </c>
      <c r="H179" s="422">
        <v>0.18451015901426959</v>
      </c>
    </row>
    <row r="180" spans="2:8">
      <c r="B180" s="415">
        <v>115</v>
      </c>
      <c r="C180" s="425" t="s">
        <v>828</v>
      </c>
      <c r="D180" s="425" t="s">
        <v>829</v>
      </c>
      <c r="E180" s="425" t="s">
        <v>819</v>
      </c>
      <c r="F180" s="417">
        <v>535</v>
      </c>
      <c r="G180" s="418">
        <v>1.9862612727090694</v>
      </c>
      <c r="H180" s="422">
        <v>0.17357169825691998</v>
      </c>
    </row>
    <row r="181" spans="2:8">
      <c r="B181" s="415">
        <v>116</v>
      </c>
      <c r="C181" s="424" t="s">
        <v>830</v>
      </c>
      <c r="D181" s="424" t="s">
        <v>831</v>
      </c>
      <c r="E181" s="424" t="s">
        <v>69</v>
      </c>
      <c r="F181" s="417">
        <v>1455</v>
      </c>
      <c r="G181" s="418">
        <v>1.9602067463214388</v>
      </c>
      <c r="H181" s="422">
        <v>0.17129489386340088</v>
      </c>
    </row>
    <row r="182" spans="2:8">
      <c r="B182" s="415">
        <v>117</v>
      </c>
      <c r="C182" s="425" t="s">
        <v>832</v>
      </c>
      <c r="D182" s="425" t="s">
        <v>833</v>
      </c>
      <c r="E182" s="425" t="s">
        <v>834</v>
      </c>
      <c r="F182" s="417">
        <v>1889</v>
      </c>
      <c r="G182" s="418">
        <v>1.9335005343798921</v>
      </c>
      <c r="H182" s="422">
        <v>0.16896114118725816</v>
      </c>
    </row>
    <row r="183" spans="2:8">
      <c r="B183" s="415">
        <v>118</v>
      </c>
      <c r="C183" s="425" t="s">
        <v>835</v>
      </c>
      <c r="D183" s="425" t="s">
        <v>836</v>
      </c>
      <c r="E183" s="425" t="s">
        <v>63</v>
      </c>
      <c r="F183" s="417">
        <v>468</v>
      </c>
      <c r="G183" s="418">
        <v>1.9193912889402609</v>
      </c>
      <c r="H183" s="422">
        <v>0.16772818874251741</v>
      </c>
    </row>
    <row r="184" spans="2:8">
      <c r="B184" s="415">
        <v>119</v>
      </c>
      <c r="C184" s="426" t="s">
        <v>837</v>
      </c>
      <c r="D184" s="426" t="s">
        <v>838</v>
      </c>
      <c r="E184" s="426" t="s">
        <v>839</v>
      </c>
      <c r="F184" s="417">
        <v>268</v>
      </c>
      <c r="G184" s="418">
        <v>1.9106926925594785</v>
      </c>
      <c r="H184" s="422">
        <v>0.16696805201377546</v>
      </c>
    </row>
    <row r="185" spans="2:8">
      <c r="B185" s="415">
        <v>120</v>
      </c>
      <c r="C185" s="421" t="s">
        <v>840</v>
      </c>
      <c r="D185" s="421" t="s">
        <v>841</v>
      </c>
      <c r="E185" s="421" t="s">
        <v>65</v>
      </c>
      <c r="F185" s="417">
        <v>136</v>
      </c>
      <c r="G185" s="418">
        <v>1.8958163212323875</v>
      </c>
      <c r="H185" s="422">
        <v>0.16566806340169224</v>
      </c>
    </row>
    <row r="186" spans="2:8">
      <c r="B186" s="415">
        <v>121</v>
      </c>
      <c r="C186" s="421" t="s">
        <v>842</v>
      </c>
      <c r="D186" s="421" t="s">
        <v>843</v>
      </c>
      <c r="E186" s="421" t="s">
        <v>68</v>
      </c>
      <c r="F186" s="417">
        <v>730</v>
      </c>
      <c r="G186" s="418">
        <v>1.8768777107104595</v>
      </c>
      <c r="H186" s="422">
        <v>0.16401309140174281</v>
      </c>
    </row>
    <row r="187" spans="2:8">
      <c r="B187" s="415">
        <v>122</v>
      </c>
      <c r="C187" s="423" t="s">
        <v>844</v>
      </c>
      <c r="D187" s="423" t="s">
        <v>845</v>
      </c>
      <c r="E187" s="423" t="s">
        <v>418</v>
      </c>
      <c r="F187" s="417">
        <v>155</v>
      </c>
      <c r="G187" s="418">
        <v>1.8361261391331951</v>
      </c>
      <c r="H187" s="422">
        <v>0.16045196901442624</v>
      </c>
    </row>
    <row r="188" spans="2:8">
      <c r="B188" s="415">
        <v>123</v>
      </c>
      <c r="C188" s="426" t="s">
        <v>846</v>
      </c>
      <c r="D188" s="426" t="s">
        <v>847</v>
      </c>
      <c r="E188" s="426" t="s">
        <v>179</v>
      </c>
      <c r="F188" s="417">
        <v>398</v>
      </c>
      <c r="G188" s="418">
        <v>1.8272844795890644</v>
      </c>
      <c r="H188" s="422">
        <v>0.15967933054859582</v>
      </c>
    </row>
    <row r="189" spans="2:8">
      <c r="B189" s="415">
        <v>124</v>
      </c>
      <c r="C189" s="424" t="s">
        <v>848</v>
      </c>
      <c r="D189" s="424" t="s">
        <v>849</v>
      </c>
      <c r="E189" s="424" t="s">
        <v>695</v>
      </c>
      <c r="F189" s="417">
        <v>1309</v>
      </c>
      <c r="G189" s="418">
        <v>1.7995352545728645</v>
      </c>
      <c r="H189" s="422">
        <v>0.15725443298977368</v>
      </c>
    </row>
    <row r="190" spans="2:8">
      <c r="B190" s="415">
        <v>125</v>
      </c>
      <c r="C190" s="425" t="s">
        <v>850</v>
      </c>
      <c r="D190" s="425" t="s">
        <v>851</v>
      </c>
      <c r="E190" s="425" t="s">
        <v>67</v>
      </c>
      <c r="F190" s="417">
        <v>47</v>
      </c>
      <c r="G190" s="418">
        <v>1.7992811009515555</v>
      </c>
      <c r="H190" s="422">
        <v>0.15723222348678687</v>
      </c>
    </row>
    <row r="191" spans="2:8">
      <c r="B191" s="415">
        <v>126</v>
      </c>
      <c r="C191" s="425" t="s">
        <v>852</v>
      </c>
      <c r="D191" s="425" t="s">
        <v>853</v>
      </c>
      <c r="E191" s="425" t="s">
        <v>854</v>
      </c>
      <c r="F191" s="417">
        <v>142</v>
      </c>
      <c r="G191" s="418">
        <v>1.7969929188783698</v>
      </c>
      <c r="H191" s="422">
        <v>0.1570322680963149</v>
      </c>
    </row>
    <row r="192" spans="2:8">
      <c r="B192" s="415">
        <v>127</v>
      </c>
      <c r="C192" s="425" t="s">
        <v>855</v>
      </c>
      <c r="D192" s="425" t="s">
        <v>856</v>
      </c>
      <c r="E192" s="425" t="s">
        <v>64</v>
      </c>
      <c r="F192" s="417">
        <v>1244</v>
      </c>
      <c r="G192" s="418">
        <v>1.7941562995146267</v>
      </c>
      <c r="H192" s="422">
        <v>0.15678438689003141</v>
      </c>
    </row>
    <row r="193" spans="2:8">
      <c r="B193" s="415">
        <v>128</v>
      </c>
      <c r="C193" s="425" t="s">
        <v>857</v>
      </c>
      <c r="D193" s="425" t="s">
        <v>858</v>
      </c>
      <c r="E193" s="425" t="s">
        <v>75</v>
      </c>
      <c r="F193" s="417">
        <v>333</v>
      </c>
      <c r="G193" s="418">
        <v>1.7805446428750378</v>
      </c>
      <c r="H193" s="422">
        <v>0.15559491680798063</v>
      </c>
    </row>
    <row r="194" spans="2:8">
      <c r="B194" s="415">
        <v>129</v>
      </c>
      <c r="C194" s="423" t="s">
        <v>859</v>
      </c>
      <c r="D194" s="423" t="s">
        <v>860</v>
      </c>
      <c r="E194" s="423" t="s">
        <v>65</v>
      </c>
      <c r="F194" s="417">
        <v>582</v>
      </c>
      <c r="G194" s="418">
        <v>1.7793646828493581</v>
      </c>
      <c r="H194" s="422">
        <v>0.15549180466037621</v>
      </c>
    </row>
    <row r="195" spans="2:8">
      <c r="B195" s="415">
        <v>130</v>
      </c>
      <c r="C195" s="425" t="s">
        <v>861</v>
      </c>
      <c r="D195" s="425" t="s">
        <v>862</v>
      </c>
      <c r="E195" s="425" t="s">
        <v>673</v>
      </c>
      <c r="F195" s="417">
        <v>419</v>
      </c>
      <c r="G195" s="418">
        <v>1.7594655221997828</v>
      </c>
      <c r="H195" s="422">
        <v>0.15375289389607216</v>
      </c>
    </row>
    <row r="196" spans="2:8">
      <c r="B196" s="415">
        <v>131</v>
      </c>
      <c r="C196" s="421" t="s">
        <v>863</v>
      </c>
      <c r="D196" s="421" t="s">
        <v>864</v>
      </c>
      <c r="E196" s="421" t="s">
        <v>76</v>
      </c>
      <c r="F196" s="417">
        <v>1087</v>
      </c>
      <c r="G196" s="418">
        <v>1.6543906872523808</v>
      </c>
      <c r="H196" s="422">
        <v>0.14457081005016845</v>
      </c>
    </row>
    <row r="197" spans="2:8">
      <c r="B197" s="415">
        <v>132</v>
      </c>
      <c r="C197" s="425" t="s">
        <v>865</v>
      </c>
      <c r="D197" s="425" t="s">
        <v>866</v>
      </c>
      <c r="E197" s="425" t="s">
        <v>65</v>
      </c>
      <c r="F197" s="417">
        <v>291</v>
      </c>
      <c r="G197" s="418">
        <v>1.6406628668243257</v>
      </c>
      <c r="H197" s="422">
        <v>0.14337118886346842</v>
      </c>
    </row>
    <row r="198" spans="2:8">
      <c r="B198" s="415">
        <v>133</v>
      </c>
      <c r="C198" s="425" t="s">
        <v>867</v>
      </c>
      <c r="D198" s="425" t="s">
        <v>868</v>
      </c>
      <c r="E198" s="425" t="s">
        <v>695</v>
      </c>
      <c r="F198" s="417">
        <v>135</v>
      </c>
      <c r="G198" s="418">
        <v>1.6098910553141914</v>
      </c>
      <c r="H198" s="422">
        <v>0.14068215914938095</v>
      </c>
    </row>
    <row r="199" spans="2:8">
      <c r="B199" s="415">
        <v>134</v>
      </c>
      <c r="C199" s="421" t="s">
        <v>869</v>
      </c>
      <c r="D199" s="421" t="s">
        <v>870</v>
      </c>
      <c r="E199" s="421" t="s">
        <v>418</v>
      </c>
      <c r="F199" s="417">
        <v>1149</v>
      </c>
      <c r="G199" s="418">
        <v>1.6076346492509344</v>
      </c>
      <c r="H199" s="422">
        <v>0.14048498054164293</v>
      </c>
    </row>
    <row r="200" spans="2:8">
      <c r="B200" s="415">
        <v>135</v>
      </c>
      <c r="C200" s="427" t="s">
        <v>871</v>
      </c>
      <c r="D200" s="428" t="s">
        <v>872</v>
      </c>
      <c r="E200" s="428" t="s">
        <v>72</v>
      </c>
      <c r="F200" s="417">
        <v>2446</v>
      </c>
      <c r="G200" s="418">
        <v>1.5542031639440061</v>
      </c>
      <c r="H200" s="422">
        <v>0.13581580948517658</v>
      </c>
    </row>
    <row r="201" spans="2:8">
      <c r="B201" s="415">
        <v>136</v>
      </c>
      <c r="C201" s="423" t="s">
        <v>873</v>
      </c>
      <c r="D201" s="423" t="s">
        <v>874</v>
      </c>
      <c r="E201" s="423" t="s">
        <v>68</v>
      </c>
      <c r="F201" s="417">
        <v>98</v>
      </c>
      <c r="G201" s="418">
        <v>1.5498990472732077</v>
      </c>
      <c r="H201" s="422">
        <v>0.13543968935923389</v>
      </c>
    </row>
    <row r="202" spans="2:8">
      <c r="B202" s="415">
        <v>137</v>
      </c>
      <c r="C202" s="421" t="s">
        <v>875</v>
      </c>
      <c r="D202" s="421" t="s">
        <v>876</v>
      </c>
      <c r="E202" s="421" t="s">
        <v>418</v>
      </c>
      <c r="F202" s="417">
        <v>637</v>
      </c>
      <c r="G202" s="418">
        <v>1.5302027753196241</v>
      </c>
      <c r="H202" s="422">
        <v>0.13371850825416667</v>
      </c>
    </row>
    <row r="203" spans="2:8">
      <c r="B203" s="415">
        <v>138</v>
      </c>
      <c r="C203" s="425" t="s">
        <v>877</v>
      </c>
      <c r="D203" s="425" t="s">
        <v>878</v>
      </c>
      <c r="E203" s="425" t="s">
        <v>71</v>
      </c>
      <c r="F203" s="417">
        <v>551</v>
      </c>
      <c r="G203" s="418">
        <v>1.526669025837595</v>
      </c>
      <c r="H203" s="422">
        <v>0.13340970754036444</v>
      </c>
    </row>
    <row r="204" spans="2:8">
      <c r="B204" s="415">
        <v>139</v>
      </c>
      <c r="C204" s="423" t="s">
        <v>879</v>
      </c>
      <c r="D204" s="423" t="s">
        <v>880</v>
      </c>
      <c r="E204" s="423" t="s">
        <v>77</v>
      </c>
      <c r="F204" s="417">
        <v>603</v>
      </c>
      <c r="G204" s="418">
        <v>1.5252080422990775</v>
      </c>
      <c r="H204" s="422">
        <v>0.13328203783377038</v>
      </c>
    </row>
    <row r="205" spans="2:8">
      <c r="B205" s="415">
        <v>140</v>
      </c>
      <c r="C205" s="425" t="s">
        <v>881</v>
      </c>
      <c r="D205" s="425" t="s">
        <v>882</v>
      </c>
      <c r="E205" s="425" t="s">
        <v>96</v>
      </c>
      <c r="F205" s="417">
        <v>218</v>
      </c>
      <c r="G205" s="418">
        <v>1.5183613510300826</v>
      </c>
      <c r="H205" s="422">
        <v>0.13268373193749752</v>
      </c>
    </row>
    <row r="206" spans="2:8">
      <c r="B206" s="415">
        <v>141</v>
      </c>
      <c r="C206" s="424" t="s">
        <v>883</v>
      </c>
      <c r="D206" s="424" t="s">
        <v>884</v>
      </c>
      <c r="E206" s="424" t="s">
        <v>885</v>
      </c>
      <c r="F206" s="417">
        <v>1520</v>
      </c>
      <c r="G206" s="418">
        <v>1.5117994520455815</v>
      </c>
      <c r="H206" s="422">
        <v>0.13211031293860781</v>
      </c>
    </row>
    <row r="207" spans="2:8">
      <c r="B207" s="415">
        <v>142</v>
      </c>
      <c r="C207" s="425" t="s">
        <v>886</v>
      </c>
      <c r="D207" s="425" t="s">
        <v>887</v>
      </c>
      <c r="E207" s="425" t="s">
        <v>96</v>
      </c>
      <c r="F207" s="417">
        <v>66</v>
      </c>
      <c r="G207" s="418">
        <v>1.5050777882221513</v>
      </c>
      <c r="H207" s="422">
        <v>0.13152293270773133</v>
      </c>
    </row>
    <row r="208" spans="2:8">
      <c r="B208" s="415">
        <v>143</v>
      </c>
      <c r="C208" s="423" t="s">
        <v>888</v>
      </c>
      <c r="D208" s="423" t="s">
        <v>889</v>
      </c>
      <c r="E208" s="423" t="s">
        <v>96</v>
      </c>
      <c r="F208" s="417">
        <v>202</v>
      </c>
      <c r="G208" s="418">
        <v>1.488291499717556</v>
      </c>
      <c r="H208" s="422">
        <v>0.13005604381289865</v>
      </c>
    </row>
    <row r="209" spans="2:8">
      <c r="B209" s="415">
        <v>144</v>
      </c>
      <c r="C209" s="425" t="s">
        <v>890</v>
      </c>
      <c r="D209" s="425" t="s">
        <v>891</v>
      </c>
      <c r="E209" s="425" t="s">
        <v>63</v>
      </c>
      <c r="F209" s="417">
        <v>44</v>
      </c>
      <c r="G209" s="418">
        <v>1.4668796757401017</v>
      </c>
      <c r="H209" s="422">
        <v>0.12818494724488466</v>
      </c>
    </row>
    <row r="210" spans="2:8">
      <c r="B210" s="415">
        <v>145</v>
      </c>
      <c r="C210" s="425" t="s">
        <v>892</v>
      </c>
      <c r="D210" s="425" t="s">
        <v>893</v>
      </c>
      <c r="E210" s="425" t="s">
        <v>63</v>
      </c>
      <c r="F210" s="417">
        <v>96</v>
      </c>
      <c r="G210" s="418">
        <v>1.4440583889255272</v>
      </c>
      <c r="H210" s="422">
        <v>0.12619068316531001</v>
      </c>
    </row>
    <row r="211" spans="2:8">
      <c r="B211" s="415">
        <v>146</v>
      </c>
      <c r="C211" s="423" t="s">
        <v>894</v>
      </c>
      <c r="D211" s="423" t="s">
        <v>895</v>
      </c>
      <c r="E211" s="423" t="s">
        <v>65</v>
      </c>
      <c r="F211" s="417">
        <v>75</v>
      </c>
      <c r="G211" s="418">
        <v>1.4227789839634537</v>
      </c>
      <c r="H211" s="422">
        <v>0.12433115818341967</v>
      </c>
    </row>
    <row r="212" spans="2:8">
      <c r="B212" s="415">
        <v>147</v>
      </c>
      <c r="C212" s="425" t="s">
        <v>896</v>
      </c>
      <c r="D212" s="425" t="s">
        <v>897</v>
      </c>
      <c r="E212" s="425" t="s">
        <v>665</v>
      </c>
      <c r="F212" s="417">
        <v>206</v>
      </c>
      <c r="G212" s="418">
        <v>1.4148774087615121</v>
      </c>
      <c r="H212" s="422">
        <v>0.12364067005602683</v>
      </c>
    </row>
    <row r="213" spans="2:8">
      <c r="B213" s="415">
        <v>148</v>
      </c>
      <c r="C213" s="423" t="s">
        <v>898</v>
      </c>
      <c r="D213" s="423" t="s">
        <v>899</v>
      </c>
      <c r="E213" s="423" t="s">
        <v>179</v>
      </c>
      <c r="F213" s="417">
        <v>116</v>
      </c>
      <c r="G213" s="418">
        <v>1.3608706515367552</v>
      </c>
      <c r="H213" s="422">
        <v>0.1189212282093533</v>
      </c>
    </row>
    <row r="214" spans="2:8">
      <c r="B214" s="415">
        <v>149</v>
      </c>
      <c r="C214" s="425" t="s">
        <v>900</v>
      </c>
      <c r="D214" s="425" t="s">
        <v>901</v>
      </c>
      <c r="E214" s="425" t="s">
        <v>64</v>
      </c>
      <c r="F214" s="417">
        <v>2040</v>
      </c>
      <c r="G214" s="418">
        <v>1.3607564546781215</v>
      </c>
      <c r="H214" s="422">
        <v>0.11891124898710241</v>
      </c>
    </row>
    <row r="215" spans="2:8">
      <c r="B215" s="415">
        <v>150</v>
      </c>
      <c r="C215" s="423" t="s">
        <v>902</v>
      </c>
      <c r="D215" s="423" t="s">
        <v>903</v>
      </c>
      <c r="E215" s="423" t="s">
        <v>810</v>
      </c>
      <c r="F215" s="417">
        <v>274</v>
      </c>
      <c r="G215" s="418">
        <v>1.3573095670052528</v>
      </c>
      <c r="H215" s="422">
        <v>0.11861003879119267</v>
      </c>
    </row>
    <row r="216" spans="2:8">
      <c r="B216" s="415">
        <v>151</v>
      </c>
      <c r="C216" s="425" t="s">
        <v>904</v>
      </c>
      <c r="D216" s="425" t="s">
        <v>905</v>
      </c>
      <c r="E216" s="425" t="s">
        <v>673</v>
      </c>
      <c r="F216" s="417">
        <v>215</v>
      </c>
      <c r="G216" s="418">
        <v>1.3543204885929079</v>
      </c>
      <c r="H216" s="422">
        <v>0.11834883477771149</v>
      </c>
    </row>
    <row r="217" spans="2:8">
      <c r="B217" s="415">
        <v>152</v>
      </c>
      <c r="C217" s="425" t="s">
        <v>906</v>
      </c>
      <c r="D217" s="425" t="s">
        <v>907</v>
      </c>
      <c r="E217" s="425" t="s">
        <v>66</v>
      </c>
      <c r="F217" s="417">
        <v>399</v>
      </c>
      <c r="G217" s="418">
        <v>1.3137312863782968</v>
      </c>
      <c r="H217" s="422">
        <v>0.1148019012216468</v>
      </c>
    </row>
    <row r="218" spans="2:8">
      <c r="B218" s="415">
        <v>153</v>
      </c>
      <c r="C218" s="423" t="s">
        <v>908</v>
      </c>
      <c r="D218" s="423" t="s">
        <v>909</v>
      </c>
      <c r="E218" s="423" t="s">
        <v>68</v>
      </c>
      <c r="F218" s="417">
        <v>125</v>
      </c>
      <c r="G218" s="418">
        <v>1.2878209006713957</v>
      </c>
      <c r="H218" s="422">
        <v>0.1125376927252969</v>
      </c>
    </row>
    <row r="219" spans="2:8">
      <c r="B219" s="415">
        <v>154</v>
      </c>
      <c r="C219" s="421" t="s">
        <v>910</v>
      </c>
      <c r="D219" s="421" t="s">
        <v>911</v>
      </c>
      <c r="E219" s="421" t="s">
        <v>179</v>
      </c>
      <c r="F219" s="417">
        <v>143</v>
      </c>
      <c r="G219" s="418">
        <v>1.2823976619364894</v>
      </c>
      <c r="H219" s="422">
        <v>0.11206377684615047</v>
      </c>
    </row>
    <row r="220" spans="2:8">
      <c r="B220" s="415">
        <v>155</v>
      </c>
      <c r="C220" s="423" t="s">
        <v>912</v>
      </c>
      <c r="D220" s="423" t="s">
        <v>913</v>
      </c>
      <c r="E220" s="423" t="s">
        <v>65</v>
      </c>
      <c r="F220" s="417">
        <v>283</v>
      </c>
      <c r="G220" s="418">
        <v>1.2746653049704963</v>
      </c>
      <c r="H220" s="422">
        <v>0.11138807604658466</v>
      </c>
    </row>
    <row r="221" spans="2:8">
      <c r="B221" s="415">
        <v>156</v>
      </c>
      <c r="C221" s="426" t="s">
        <v>914</v>
      </c>
      <c r="D221" s="426" t="s">
        <v>915</v>
      </c>
      <c r="E221" s="426" t="s">
        <v>69</v>
      </c>
      <c r="F221" s="417">
        <v>149</v>
      </c>
      <c r="G221" s="418">
        <v>1.2573641177725432</v>
      </c>
      <c r="H221" s="422">
        <v>0.10987619214436578</v>
      </c>
    </row>
    <row r="222" spans="2:8">
      <c r="B222" s="415">
        <v>157</v>
      </c>
      <c r="C222" s="423" t="s">
        <v>916</v>
      </c>
      <c r="D222" s="423" t="s">
        <v>917</v>
      </c>
      <c r="E222" s="423" t="s">
        <v>65</v>
      </c>
      <c r="F222" s="417">
        <v>221</v>
      </c>
      <c r="G222" s="418">
        <v>1.2218520175769714</v>
      </c>
      <c r="H222" s="422">
        <v>0.10677292691722459</v>
      </c>
    </row>
    <row r="223" spans="2:8">
      <c r="B223" s="415">
        <v>158</v>
      </c>
      <c r="C223" s="423" t="s">
        <v>918</v>
      </c>
      <c r="D223" s="423" t="s">
        <v>919</v>
      </c>
      <c r="E223" s="423" t="s">
        <v>63</v>
      </c>
      <c r="F223" s="417">
        <v>145</v>
      </c>
      <c r="G223" s="418">
        <v>1.1951267667080683</v>
      </c>
      <c r="H223" s="422">
        <v>0.10443751050278131</v>
      </c>
    </row>
    <row r="224" spans="2:8">
      <c r="B224" s="415">
        <v>159</v>
      </c>
      <c r="C224" s="424" t="s">
        <v>920</v>
      </c>
      <c r="D224" s="424" t="s">
        <v>921</v>
      </c>
      <c r="E224" s="424" t="s">
        <v>768</v>
      </c>
      <c r="F224" s="417">
        <v>727</v>
      </c>
      <c r="G224" s="418">
        <v>1.1728509753036434</v>
      </c>
      <c r="H224" s="422">
        <v>0.10249091515945598</v>
      </c>
    </row>
    <row r="225" spans="2:8">
      <c r="B225" s="415">
        <v>160</v>
      </c>
      <c r="C225" s="425" t="s">
        <v>922</v>
      </c>
      <c r="D225" s="425" t="s">
        <v>923</v>
      </c>
      <c r="E225" s="425" t="s">
        <v>695</v>
      </c>
      <c r="F225" s="417">
        <v>368</v>
      </c>
      <c r="G225" s="418">
        <v>1.1639461614605706</v>
      </c>
      <c r="H225" s="422">
        <v>0.1017127578834518</v>
      </c>
    </row>
    <row r="226" spans="2:8">
      <c r="B226" s="415">
        <v>161</v>
      </c>
      <c r="C226" s="425" t="s">
        <v>924</v>
      </c>
      <c r="D226" s="425" t="s">
        <v>925</v>
      </c>
      <c r="E226" s="425" t="s">
        <v>695</v>
      </c>
      <c r="F226" s="417">
        <v>470</v>
      </c>
      <c r="G226" s="418">
        <v>1.1482666662066952</v>
      </c>
      <c r="H226" s="422">
        <v>0.10034258737445598</v>
      </c>
    </row>
    <row r="227" spans="2:8">
      <c r="B227" s="415">
        <v>162</v>
      </c>
      <c r="C227" s="425" t="s">
        <v>926</v>
      </c>
      <c r="D227" s="425" t="s">
        <v>927</v>
      </c>
      <c r="E227" s="425" t="s">
        <v>65</v>
      </c>
      <c r="F227" s="417">
        <v>805</v>
      </c>
      <c r="G227" s="418">
        <v>1.1270327820501138</v>
      </c>
      <c r="H227" s="422">
        <v>9.8487040279877786E-2</v>
      </c>
    </row>
    <row r="228" spans="2:8">
      <c r="B228" s="415">
        <v>163</v>
      </c>
      <c r="C228" s="425" t="s">
        <v>928</v>
      </c>
      <c r="D228" s="425" t="s">
        <v>929</v>
      </c>
      <c r="E228" s="425" t="s">
        <v>63</v>
      </c>
      <c r="F228" s="417">
        <v>179</v>
      </c>
      <c r="G228" s="418">
        <v>1.065317039357859</v>
      </c>
      <c r="H228" s="422">
        <v>9.3093939978590889E-2</v>
      </c>
    </row>
    <row r="229" spans="2:8">
      <c r="B229" s="415">
        <v>164</v>
      </c>
      <c r="C229" s="427" t="s">
        <v>930</v>
      </c>
      <c r="D229" s="428" t="s">
        <v>931</v>
      </c>
      <c r="E229" s="428" t="s">
        <v>75</v>
      </c>
      <c r="F229" s="417">
        <v>102</v>
      </c>
      <c r="G229" s="418">
        <v>1.0339627805127574</v>
      </c>
      <c r="H229" s="422">
        <v>9.035401244231632E-2</v>
      </c>
    </row>
    <row r="230" spans="2:8">
      <c r="B230" s="415">
        <v>165</v>
      </c>
      <c r="C230" s="423" t="s">
        <v>932</v>
      </c>
      <c r="D230" s="423" t="s">
        <v>223</v>
      </c>
      <c r="E230" s="423" t="s">
        <v>179</v>
      </c>
      <c r="F230" s="417">
        <v>5</v>
      </c>
      <c r="G230" s="418">
        <v>1.0213122178365339</v>
      </c>
      <c r="H230" s="422">
        <v>8.9248528648322334E-2</v>
      </c>
    </row>
    <row r="231" spans="2:8">
      <c r="B231" s="415">
        <v>166</v>
      </c>
      <c r="C231" s="423" t="s">
        <v>933</v>
      </c>
      <c r="D231" s="423" t="s">
        <v>934</v>
      </c>
      <c r="E231" s="423" t="s">
        <v>69</v>
      </c>
      <c r="F231" s="417">
        <v>141</v>
      </c>
      <c r="G231" s="418">
        <v>1.0192227450079625</v>
      </c>
      <c r="H231" s="422">
        <v>8.9065937690979577E-2</v>
      </c>
    </row>
    <row r="232" spans="2:8">
      <c r="B232" s="415">
        <v>167</v>
      </c>
      <c r="C232" s="426" t="s">
        <v>935</v>
      </c>
      <c r="D232" s="426" t="s">
        <v>936</v>
      </c>
      <c r="E232" s="426" t="s">
        <v>695</v>
      </c>
      <c r="F232" s="417">
        <v>923</v>
      </c>
      <c r="G232" s="418">
        <v>0.96973125450033881</v>
      </c>
      <c r="H232" s="422">
        <v>8.4741067556972416E-2</v>
      </c>
    </row>
    <row r="233" spans="2:8">
      <c r="B233" s="415">
        <v>168</v>
      </c>
      <c r="C233" s="423" t="s">
        <v>937</v>
      </c>
      <c r="D233" s="423" t="s">
        <v>938</v>
      </c>
      <c r="E233" s="423" t="s">
        <v>665</v>
      </c>
      <c r="F233" s="417">
        <v>23</v>
      </c>
      <c r="G233" s="418">
        <v>0.95836267806288544</v>
      </c>
      <c r="H233" s="422">
        <v>8.3747611587143708E-2</v>
      </c>
    </row>
    <row r="234" spans="2:8">
      <c r="B234" s="415">
        <v>169</v>
      </c>
      <c r="C234" s="426" t="s">
        <v>939</v>
      </c>
      <c r="D234" s="426" t="s">
        <v>940</v>
      </c>
      <c r="E234" s="426" t="s">
        <v>68</v>
      </c>
      <c r="F234" s="417">
        <v>44</v>
      </c>
      <c r="G234" s="418">
        <v>0.94865764381918793</v>
      </c>
      <c r="H234" s="422">
        <v>8.2899526142159632E-2</v>
      </c>
    </row>
    <row r="235" spans="2:8">
      <c r="B235" s="415">
        <v>170</v>
      </c>
      <c r="C235" s="425" t="s">
        <v>941</v>
      </c>
      <c r="D235" s="425" t="s">
        <v>942</v>
      </c>
      <c r="E235" s="425" t="s">
        <v>67</v>
      </c>
      <c r="F235" s="417">
        <v>107</v>
      </c>
      <c r="G235" s="418">
        <v>0.86324392737198197</v>
      </c>
      <c r="H235" s="422">
        <v>7.5435551476854823E-2</v>
      </c>
    </row>
    <row r="236" spans="2:8">
      <c r="B236" s="415">
        <v>171</v>
      </c>
      <c r="C236" s="425" t="s">
        <v>943</v>
      </c>
      <c r="D236" s="425" t="s">
        <v>944</v>
      </c>
      <c r="E236" s="425" t="s">
        <v>67</v>
      </c>
      <c r="F236" s="417">
        <v>1337</v>
      </c>
      <c r="G236" s="418">
        <v>0.8595338222000094</v>
      </c>
      <c r="H236" s="422">
        <v>7.5111339720698125E-2</v>
      </c>
    </row>
    <row r="237" spans="2:8">
      <c r="B237" s="415">
        <v>172</v>
      </c>
      <c r="C237" s="423" t="s">
        <v>945</v>
      </c>
      <c r="D237" s="423" t="s">
        <v>946</v>
      </c>
      <c r="E237" s="423" t="s">
        <v>75</v>
      </c>
      <c r="F237" s="417">
        <v>94</v>
      </c>
      <c r="G237" s="418">
        <v>0.83955782724822314</v>
      </c>
      <c r="H237" s="422">
        <v>7.3365714703590379E-2</v>
      </c>
    </row>
    <row r="238" spans="2:8">
      <c r="B238" s="415">
        <v>173</v>
      </c>
      <c r="C238" s="423" t="s">
        <v>947</v>
      </c>
      <c r="D238" s="423" t="s">
        <v>948</v>
      </c>
      <c r="E238" s="423" t="s">
        <v>695</v>
      </c>
      <c r="F238" s="417">
        <v>88</v>
      </c>
      <c r="G238" s="418">
        <v>0.81756872539533254</v>
      </c>
      <c r="H238" s="422">
        <v>7.1444172052484378E-2</v>
      </c>
    </row>
    <row r="239" spans="2:8">
      <c r="B239" s="415">
        <v>174</v>
      </c>
      <c r="C239" s="423" t="s">
        <v>949</v>
      </c>
      <c r="D239" s="423" t="s">
        <v>950</v>
      </c>
      <c r="E239" s="423" t="s">
        <v>768</v>
      </c>
      <c r="F239" s="417">
        <v>353</v>
      </c>
      <c r="G239" s="418">
        <v>0.81577890758040639</v>
      </c>
      <c r="H239" s="422">
        <v>7.1287766788999812E-2</v>
      </c>
    </row>
    <row r="240" spans="2:8">
      <c r="B240" s="415">
        <v>175</v>
      </c>
      <c r="C240" s="426" t="s">
        <v>951</v>
      </c>
      <c r="D240" s="426" t="s">
        <v>952</v>
      </c>
      <c r="E240" s="426" t="s">
        <v>197</v>
      </c>
      <c r="F240" s="417">
        <v>2177</v>
      </c>
      <c r="G240" s="418">
        <v>0.7893228627505523</v>
      </c>
      <c r="H240" s="422">
        <v>6.8975875250171237E-2</v>
      </c>
    </row>
    <row r="241" spans="2:8">
      <c r="B241" s="415">
        <v>176</v>
      </c>
      <c r="C241" s="427" t="s">
        <v>953</v>
      </c>
      <c r="D241" s="428" t="s">
        <v>116</v>
      </c>
      <c r="E241" s="428" t="s">
        <v>67</v>
      </c>
      <c r="F241" s="417">
        <v>573</v>
      </c>
      <c r="G241" s="418">
        <v>0.78530805964081096</v>
      </c>
      <c r="H241" s="422">
        <v>6.8625037118501625E-2</v>
      </c>
    </row>
    <row r="242" spans="2:8">
      <c r="B242" s="415">
        <v>177</v>
      </c>
      <c r="C242" s="423" t="s">
        <v>954</v>
      </c>
      <c r="D242" s="423" t="s">
        <v>955</v>
      </c>
      <c r="E242" s="423" t="s">
        <v>68</v>
      </c>
      <c r="F242" s="417">
        <v>54</v>
      </c>
      <c r="G242" s="418">
        <v>0.7778480556026075</v>
      </c>
      <c r="H242" s="422">
        <v>6.797313618899882E-2</v>
      </c>
    </row>
    <row r="243" spans="2:8">
      <c r="B243" s="415">
        <v>178</v>
      </c>
      <c r="C243" s="423" t="s">
        <v>956</v>
      </c>
      <c r="D243" s="423" t="s">
        <v>124</v>
      </c>
      <c r="E243" s="423" t="s">
        <v>77</v>
      </c>
      <c r="F243" s="417">
        <v>401</v>
      </c>
      <c r="G243" s="418">
        <v>0.76099430537723955</v>
      </c>
      <c r="H243" s="422">
        <v>6.650035207504125E-2</v>
      </c>
    </row>
    <row r="244" spans="2:8">
      <c r="B244" s="415">
        <v>179</v>
      </c>
      <c r="C244" s="421" t="s">
        <v>957</v>
      </c>
      <c r="D244" s="421" t="s">
        <v>958</v>
      </c>
      <c r="E244" s="421" t="s">
        <v>197</v>
      </c>
      <c r="F244" s="417">
        <v>931</v>
      </c>
      <c r="G244" s="418">
        <v>0.74278765550106907</v>
      </c>
      <c r="H244" s="422">
        <v>6.490934328783074E-2</v>
      </c>
    </row>
    <row r="245" spans="2:8">
      <c r="B245" s="415">
        <v>180</v>
      </c>
      <c r="C245" s="423" t="s">
        <v>959</v>
      </c>
      <c r="D245" s="423" t="s">
        <v>960</v>
      </c>
      <c r="E245" s="423" t="s">
        <v>68</v>
      </c>
      <c r="F245" s="417">
        <v>14</v>
      </c>
      <c r="G245" s="418">
        <v>0.7319129767375907</v>
      </c>
      <c r="H245" s="422">
        <v>6.3959047127446461E-2</v>
      </c>
    </row>
    <row r="246" spans="2:8">
      <c r="B246" s="415">
        <v>181</v>
      </c>
      <c r="C246" s="425" t="s">
        <v>961</v>
      </c>
      <c r="D246" s="425" t="s">
        <v>962</v>
      </c>
      <c r="E246" s="425" t="s">
        <v>963</v>
      </c>
      <c r="F246" s="417">
        <v>51</v>
      </c>
      <c r="G246" s="418">
        <v>0.68909874346242306</v>
      </c>
      <c r="H246" s="422">
        <v>6.0217676703905376E-2</v>
      </c>
    </row>
    <row r="247" spans="2:8">
      <c r="B247" s="415">
        <v>182</v>
      </c>
      <c r="C247" s="423" t="s">
        <v>964</v>
      </c>
      <c r="D247" s="423" t="s">
        <v>125</v>
      </c>
      <c r="E247" s="423" t="s">
        <v>69</v>
      </c>
      <c r="F247" s="417">
        <v>286</v>
      </c>
      <c r="G247" s="418">
        <v>0.65465301226065697</v>
      </c>
      <c r="H247" s="422">
        <v>5.7207597342977506E-2</v>
      </c>
    </row>
    <row r="248" spans="2:8">
      <c r="B248" s="415">
        <v>183</v>
      </c>
      <c r="C248" s="423" t="s">
        <v>965</v>
      </c>
      <c r="D248" s="423" t="s">
        <v>966</v>
      </c>
      <c r="E248" s="423" t="s">
        <v>66</v>
      </c>
      <c r="F248" s="417">
        <v>233</v>
      </c>
      <c r="G248" s="418">
        <v>0.64368385520175531</v>
      </c>
      <c r="H248" s="422">
        <v>5.6249045089394246E-2</v>
      </c>
    </row>
    <row r="249" spans="2:8">
      <c r="B249" s="415">
        <v>184</v>
      </c>
      <c r="C249" s="421" t="s">
        <v>967</v>
      </c>
      <c r="D249" s="421" t="s">
        <v>968</v>
      </c>
      <c r="E249" s="421" t="s">
        <v>695</v>
      </c>
      <c r="F249" s="417">
        <v>426</v>
      </c>
      <c r="G249" s="418">
        <v>0.57524565169347508</v>
      </c>
      <c r="H249" s="422">
        <v>5.0268494911127323E-2</v>
      </c>
    </row>
    <row r="250" spans="2:8">
      <c r="B250" s="415">
        <v>185</v>
      </c>
      <c r="C250" s="423" t="s">
        <v>969</v>
      </c>
      <c r="D250" s="423" t="s">
        <v>970</v>
      </c>
      <c r="E250" s="423" t="s">
        <v>65</v>
      </c>
      <c r="F250" s="417">
        <v>408</v>
      </c>
      <c r="G250" s="418">
        <v>0.57275969074079291</v>
      </c>
      <c r="H250" s="422">
        <v>5.0051256388539148E-2</v>
      </c>
    </row>
    <row r="251" spans="2:8">
      <c r="B251" s="415">
        <v>186</v>
      </c>
      <c r="C251" s="423" t="s">
        <v>971</v>
      </c>
      <c r="D251" s="423" t="s">
        <v>972</v>
      </c>
      <c r="E251" s="423" t="s">
        <v>67</v>
      </c>
      <c r="F251" s="417">
        <v>95</v>
      </c>
      <c r="G251" s="418">
        <v>0.55240749213910434</v>
      </c>
      <c r="H251" s="422">
        <v>4.8272756388013476E-2</v>
      </c>
    </row>
    <row r="252" spans="2:8">
      <c r="B252" s="415">
        <v>187</v>
      </c>
      <c r="C252" s="426" t="s">
        <v>973</v>
      </c>
      <c r="D252" s="426" t="s">
        <v>974</v>
      </c>
      <c r="E252" s="426" t="s">
        <v>68</v>
      </c>
      <c r="F252" s="417">
        <v>59</v>
      </c>
      <c r="G252" s="418">
        <v>0.52638315905028432</v>
      </c>
      <c r="H252" s="422">
        <v>4.5998590470218897E-2</v>
      </c>
    </row>
    <row r="253" spans="2:8">
      <c r="B253" s="415">
        <v>188</v>
      </c>
      <c r="C253" s="423" t="s">
        <v>975</v>
      </c>
      <c r="D253" s="423" t="s">
        <v>976</v>
      </c>
      <c r="E253" s="423" t="s">
        <v>75</v>
      </c>
      <c r="F253" s="417">
        <v>18</v>
      </c>
      <c r="G253" s="418">
        <v>0.50317680069131876</v>
      </c>
      <c r="H253" s="422">
        <v>4.3970676476190025E-2</v>
      </c>
    </row>
    <row r="254" spans="2:8">
      <c r="B254" s="415">
        <v>189</v>
      </c>
      <c r="C254" s="423" t="s">
        <v>977</v>
      </c>
      <c r="D254" s="423" t="s">
        <v>978</v>
      </c>
      <c r="E254" s="423" t="s">
        <v>77</v>
      </c>
      <c r="F254" s="417">
        <v>151</v>
      </c>
      <c r="G254" s="418">
        <v>0.45165232949149858</v>
      </c>
      <c r="H254" s="422">
        <v>3.9468152014367895E-2</v>
      </c>
    </row>
    <row r="255" spans="2:8">
      <c r="B255" s="415">
        <v>190</v>
      </c>
      <c r="C255" s="423" t="s">
        <v>979</v>
      </c>
      <c r="D255" s="423" t="s">
        <v>980</v>
      </c>
      <c r="E255" s="423" t="s">
        <v>68</v>
      </c>
      <c r="F255" s="417">
        <v>97</v>
      </c>
      <c r="G255" s="418">
        <v>0.44618221134285274</v>
      </c>
      <c r="H255" s="422">
        <v>3.8990139524383891E-2</v>
      </c>
    </row>
    <row r="256" spans="2:8">
      <c r="B256" s="415">
        <v>191</v>
      </c>
      <c r="C256" s="427" t="s">
        <v>981</v>
      </c>
      <c r="D256" s="428" t="s">
        <v>499</v>
      </c>
      <c r="E256" s="428" t="s">
        <v>62</v>
      </c>
      <c r="F256" s="417">
        <v>2</v>
      </c>
      <c r="G256" s="418">
        <v>0.42352628338280607</v>
      </c>
      <c r="H256" s="422">
        <v>3.7010325516205457E-2</v>
      </c>
    </row>
    <row r="257" spans="2:8">
      <c r="B257" s="415">
        <v>192</v>
      </c>
      <c r="C257" s="423" t="s">
        <v>982</v>
      </c>
      <c r="D257" s="423" t="s">
        <v>983</v>
      </c>
      <c r="E257" s="423" t="s">
        <v>768</v>
      </c>
      <c r="F257" s="417">
        <v>301</v>
      </c>
      <c r="G257" s="418">
        <v>0.40591031216157103</v>
      </c>
      <c r="H257" s="422">
        <v>3.5470933854430529E-2</v>
      </c>
    </row>
    <row r="258" spans="2:8">
      <c r="B258" s="415">
        <v>193</v>
      </c>
      <c r="C258" s="423" t="s">
        <v>984</v>
      </c>
      <c r="D258" s="423" t="s">
        <v>985</v>
      </c>
      <c r="E258" s="423" t="s">
        <v>65</v>
      </c>
      <c r="F258" s="417">
        <v>390</v>
      </c>
      <c r="G258" s="418">
        <v>0.38081439975168563</v>
      </c>
      <c r="H258" s="422">
        <v>3.3277899032606889E-2</v>
      </c>
    </row>
    <row r="259" spans="2:8">
      <c r="B259" s="415">
        <v>194</v>
      </c>
      <c r="C259" s="424" t="s">
        <v>986</v>
      </c>
      <c r="D259" s="424" t="s">
        <v>987</v>
      </c>
      <c r="E259" s="424" t="s">
        <v>695</v>
      </c>
      <c r="F259" s="417">
        <v>58</v>
      </c>
      <c r="G259" s="418">
        <v>0.37569053380703132</v>
      </c>
      <c r="H259" s="422">
        <v>3.2830144184906797E-2</v>
      </c>
    </row>
    <row r="260" spans="2:8">
      <c r="B260" s="415">
        <v>195</v>
      </c>
      <c r="C260" s="423" t="s">
        <v>988</v>
      </c>
      <c r="D260" s="423" t="s">
        <v>989</v>
      </c>
      <c r="E260" s="423" t="s">
        <v>197</v>
      </c>
      <c r="F260" s="417">
        <v>66</v>
      </c>
      <c r="G260" s="418">
        <v>0.35183429797097532</v>
      </c>
      <c r="H260" s="422">
        <v>3.0745439909102119E-2</v>
      </c>
    </row>
    <row r="261" spans="2:8">
      <c r="B261" s="415">
        <v>196</v>
      </c>
      <c r="C261" s="425" t="s">
        <v>990</v>
      </c>
      <c r="D261" s="425" t="s">
        <v>991</v>
      </c>
      <c r="E261" s="425" t="s">
        <v>71</v>
      </c>
      <c r="F261" s="417">
        <v>227</v>
      </c>
      <c r="G261" s="418">
        <v>0.33566783538788425</v>
      </c>
      <c r="H261" s="422">
        <v>2.9332715206713451E-2</v>
      </c>
    </row>
    <row r="262" spans="2:8">
      <c r="B262" s="415">
        <v>197</v>
      </c>
      <c r="C262" s="421" t="s">
        <v>992</v>
      </c>
      <c r="D262" s="421" t="s">
        <v>993</v>
      </c>
      <c r="E262" s="421" t="s">
        <v>68</v>
      </c>
      <c r="F262" s="417">
        <v>155</v>
      </c>
      <c r="G262" s="418">
        <v>0.32831680070736902</v>
      </c>
      <c r="H262" s="422">
        <v>2.8690336688351515E-2</v>
      </c>
    </row>
    <row r="263" spans="2:8">
      <c r="B263" s="415">
        <v>198</v>
      </c>
      <c r="C263" s="423" t="s">
        <v>994</v>
      </c>
      <c r="D263" s="423" t="s">
        <v>995</v>
      </c>
      <c r="E263" s="423" t="s">
        <v>65</v>
      </c>
      <c r="F263" s="417">
        <v>541</v>
      </c>
      <c r="G263" s="418">
        <v>0.29741807804827625</v>
      </c>
      <c r="H263" s="422">
        <v>2.5990216699306214E-2</v>
      </c>
    </row>
    <row r="264" spans="2:8">
      <c r="B264" s="415">
        <v>199</v>
      </c>
      <c r="C264" s="423" t="s">
        <v>996</v>
      </c>
      <c r="D264" s="423" t="s">
        <v>997</v>
      </c>
      <c r="E264" s="423" t="s">
        <v>64</v>
      </c>
      <c r="F264" s="417">
        <v>492</v>
      </c>
      <c r="G264" s="418">
        <v>0.29509403459614658</v>
      </c>
      <c r="H264" s="422">
        <v>2.5787127521486805E-2</v>
      </c>
    </row>
    <row r="265" spans="2:8">
      <c r="B265" s="415">
        <v>200</v>
      </c>
      <c r="C265" s="423" t="s">
        <v>998</v>
      </c>
      <c r="D265" s="423" t="s">
        <v>999</v>
      </c>
      <c r="E265" s="423" t="s">
        <v>65</v>
      </c>
      <c r="F265" s="417">
        <v>30</v>
      </c>
      <c r="G265" s="418">
        <v>0.27262266664743429</v>
      </c>
      <c r="H265" s="422">
        <v>2.3823441499609962E-2</v>
      </c>
    </row>
    <row r="266" spans="2:8">
      <c r="B266" s="415">
        <v>201</v>
      </c>
      <c r="C266" s="423" t="s">
        <v>1000</v>
      </c>
      <c r="D266" s="423" t="s">
        <v>1001</v>
      </c>
      <c r="E266" s="423" t="s">
        <v>68</v>
      </c>
      <c r="F266" s="417">
        <v>4</v>
      </c>
      <c r="G266" s="418">
        <v>0.27214267058955094</v>
      </c>
      <c r="H266" s="422">
        <v>2.3781496498683771E-2</v>
      </c>
    </row>
    <row r="267" spans="2:8">
      <c r="B267" s="415">
        <v>202</v>
      </c>
      <c r="C267" s="425" t="s">
        <v>1002</v>
      </c>
      <c r="D267" s="425" t="s">
        <v>1003</v>
      </c>
      <c r="E267" s="425" t="s">
        <v>63</v>
      </c>
      <c r="F267" s="417">
        <v>54</v>
      </c>
      <c r="G267" s="418">
        <v>0.24543476761191407</v>
      </c>
      <c r="H267" s="422">
        <v>2.1447596049430796E-2</v>
      </c>
    </row>
    <row r="268" spans="2:8">
      <c r="B268" s="415">
        <v>203</v>
      </c>
      <c r="C268" s="425" t="s">
        <v>1004</v>
      </c>
      <c r="D268" s="425" t="s">
        <v>1005</v>
      </c>
      <c r="E268" s="425" t="s">
        <v>75</v>
      </c>
      <c r="F268" s="417">
        <v>31</v>
      </c>
      <c r="G268" s="418">
        <v>0.20378622184490233</v>
      </c>
      <c r="H268" s="422">
        <v>1.7808090553332788E-2</v>
      </c>
    </row>
    <row r="269" spans="2:8">
      <c r="B269" s="415">
        <v>204</v>
      </c>
      <c r="C269" s="424" t="s">
        <v>1006</v>
      </c>
      <c r="D269" s="424" t="s">
        <v>1007</v>
      </c>
      <c r="E269" s="424" t="s">
        <v>695</v>
      </c>
      <c r="F269" s="417">
        <v>31</v>
      </c>
      <c r="G269" s="418">
        <v>0.15620656904380478</v>
      </c>
      <c r="H269" s="422">
        <v>1.3650288529685948E-2</v>
      </c>
    </row>
    <row r="270" spans="2:8">
      <c r="B270" s="415">
        <v>205</v>
      </c>
      <c r="C270" s="421" t="s">
        <v>1008</v>
      </c>
      <c r="D270" s="421" t="s">
        <v>1009</v>
      </c>
      <c r="E270" s="421" t="s">
        <v>695</v>
      </c>
      <c r="F270" s="417">
        <v>62</v>
      </c>
      <c r="G270" s="418">
        <v>0.1045646321307252</v>
      </c>
      <c r="H270" s="422">
        <v>9.1374991930371543E-3</v>
      </c>
    </row>
    <row r="271" spans="2:8">
      <c r="B271" s="415">
        <v>206</v>
      </c>
      <c r="C271" s="423" t="s">
        <v>1010</v>
      </c>
      <c r="D271" s="423" t="s">
        <v>1011</v>
      </c>
      <c r="E271" s="423" t="s">
        <v>62</v>
      </c>
      <c r="F271" s="417">
        <v>103</v>
      </c>
      <c r="G271" s="418">
        <v>9.3189237623833687E-2</v>
      </c>
      <c r="H271" s="422">
        <v>8.143447418463387E-3</v>
      </c>
    </row>
    <row r="272" spans="2:8">
      <c r="B272" s="415">
        <v>207</v>
      </c>
      <c r="C272" s="426" t="s">
        <v>1012</v>
      </c>
      <c r="D272" s="426" t="s">
        <v>1013</v>
      </c>
      <c r="E272" s="426" t="s">
        <v>96</v>
      </c>
      <c r="F272" s="417">
        <v>422</v>
      </c>
      <c r="G272" s="418">
        <v>5.7922110986836126E-2</v>
      </c>
      <c r="H272" s="422">
        <v>5.0615894840957921E-3</v>
      </c>
    </row>
    <row r="273" spans="2:8">
      <c r="B273" s="415"/>
      <c r="C273" s="416"/>
      <c r="D273" s="416"/>
      <c r="E273" s="416"/>
      <c r="F273" s="417"/>
      <c r="G273" s="418"/>
      <c r="H273" s="420"/>
    </row>
    <row r="274" spans="2:8">
      <c r="B274" s="415"/>
      <c r="C274" s="411" t="s">
        <v>1014</v>
      </c>
      <c r="D274" s="416"/>
      <c r="E274" s="416"/>
      <c r="F274" s="417"/>
      <c r="G274" s="418"/>
      <c r="H274" s="420"/>
    </row>
    <row r="275" spans="2:8">
      <c r="B275" s="415">
        <v>1</v>
      </c>
      <c r="C275" s="425" t="s">
        <v>687</v>
      </c>
      <c r="D275" s="425" t="s">
        <v>1015</v>
      </c>
      <c r="E275" s="421" t="s">
        <v>197</v>
      </c>
      <c r="F275" s="417">
        <v>267</v>
      </c>
      <c r="G275" s="418">
        <v>2.656228290248067E-2</v>
      </c>
      <c r="H275" s="419">
        <v>2.3211752735208366E-3</v>
      </c>
    </row>
    <row r="276" spans="2:8">
      <c r="B276" s="415"/>
      <c r="C276" s="425"/>
      <c r="D276" s="425"/>
      <c r="E276" s="425"/>
      <c r="F276" s="417"/>
      <c r="G276" s="418"/>
      <c r="H276" s="419"/>
    </row>
    <row r="277" spans="2:8">
      <c r="B277" s="415"/>
      <c r="C277" s="411" t="s">
        <v>1016</v>
      </c>
      <c r="D277" s="416"/>
      <c r="E277" s="416"/>
      <c r="F277" s="417"/>
      <c r="G277" s="418"/>
      <c r="H277" s="420"/>
    </row>
    <row r="278" spans="2:8">
      <c r="B278" s="415">
        <v>1</v>
      </c>
      <c r="C278" s="427" t="s">
        <v>678</v>
      </c>
      <c r="D278" s="428" t="s">
        <v>1017</v>
      </c>
      <c r="E278" s="428" t="s">
        <v>62</v>
      </c>
      <c r="F278" s="417">
        <v>248</v>
      </c>
      <c r="G278" s="418">
        <v>0.95111927336711455</v>
      </c>
      <c r="H278" s="419">
        <v>8.3114638437296051E-2</v>
      </c>
    </row>
    <row r="279" spans="2:8">
      <c r="B279" s="415">
        <v>2</v>
      </c>
      <c r="C279" s="427" t="s">
        <v>681</v>
      </c>
      <c r="D279" s="428" t="s">
        <v>1017</v>
      </c>
      <c r="E279" s="428" t="s">
        <v>74</v>
      </c>
      <c r="F279" s="417">
        <v>135</v>
      </c>
      <c r="G279" s="418">
        <v>0.90907652261920358</v>
      </c>
      <c r="H279" s="419">
        <v>7.9440684891016466E-2</v>
      </c>
    </row>
    <row r="280" spans="2:8">
      <c r="B280" s="415">
        <v>3</v>
      </c>
      <c r="C280" s="427" t="s">
        <v>674</v>
      </c>
      <c r="D280" s="428" t="s">
        <v>1017</v>
      </c>
      <c r="E280" s="428" t="s">
        <v>68</v>
      </c>
      <c r="F280" s="417">
        <v>81</v>
      </c>
      <c r="G280" s="418">
        <v>0.69309743110611788</v>
      </c>
      <c r="H280" s="419">
        <v>6.0567106567262913E-2</v>
      </c>
    </row>
    <row r="281" spans="2:8">
      <c r="B281" s="415">
        <v>4</v>
      </c>
      <c r="C281" s="427" t="s">
        <v>680</v>
      </c>
      <c r="D281" s="428" t="s">
        <v>1017</v>
      </c>
      <c r="E281" s="428" t="s">
        <v>76</v>
      </c>
      <c r="F281" s="417">
        <v>90</v>
      </c>
      <c r="G281" s="418">
        <v>0.41378035371695104</v>
      </c>
      <c r="H281" s="419">
        <v>3.6158666378287636E-2</v>
      </c>
    </row>
    <row r="282" spans="2:8">
      <c r="B282" s="415">
        <v>5</v>
      </c>
      <c r="C282" s="427" t="s">
        <v>1018</v>
      </c>
      <c r="D282" s="428" t="s">
        <v>1017</v>
      </c>
      <c r="E282" s="428" t="s">
        <v>64</v>
      </c>
      <c r="F282" s="417">
        <v>149</v>
      </c>
      <c r="G282" s="418">
        <v>0.38914166979809911</v>
      </c>
      <c r="H282" s="419">
        <v>3.4005586987690774E-2</v>
      </c>
    </row>
    <row r="283" spans="2:8">
      <c r="B283" s="415">
        <v>6</v>
      </c>
      <c r="C283" s="427" t="s">
        <v>650</v>
      </c>
      <c r="D283" s="428" t="s">
        <v>1017</v>
      </c>
      <c r="E283" s="428" t="s">
        <v>62</v>
      </c>
      <c r="F283" s="417">
        <v>4</v>
      </c>
      <c r="G283" s="418">
        <v>0.22620939897551068</v>
      </c>
      <c r="H283" s="419">
        <v>1.9767565365811542E-2</v>
      </c>
    </row>
    <row r="284" spans="2:8">
      <c r="B284" s="415">
        <v>7</v>
      </c>
      <c r="C284" s="427" t="s">
        <v>715</v>
      </c>
      <c r="D284" s="428" t="s">
        <v>1017</v>
      </c>
      <c r="E284" s="428" t="s">
        <v>75</v>
      </c>
      <c r="F284" s="417">
        <v>37</v>
      </c>
      <c r="G284" s="418">
        <v>0.21467251345669744</v>
      </c>
      <c r="H284" s="419">
        <v>1.8759401515662619E-2</v>
      </c>
    </row>
    <row r="285" spans="2:8">
      <c r="B285" s="415">
        <v>8</v>
      </c>
      <c r="C285" s="427" t="s">
        <v>743</v>
      </c>
      <c r="D285" s="428" t="s">
        <v>1017</v>
      </c>
      <c r="E285" s="428" t="s">
        <v>63</v>
      </c>
      <c r="F285" s="417">
        <v>35</v>
      </c>
      <c r="G285" s="418">
        <v>0.15885480337095073</v>
      </c>
      <c r="H285" s="419">
        <v>1.3881707495489001E-2</v>
      </c>
    </row>
    <row r="286" spans="2:8">
      <c r="B286" s="415"/>
      <c r="C286" s="427"/>
      <c r="D286" s="428"/>
      <c r="E286" s="428"/>
      <c r="F286" s="417"/>
      <c r="G286" s="418"/>
      <c r="H286" s="419"/>
    </row>
    <row r="287" spans="2:8">
      <c r="B287" s="415"/>
      <c r="C287" s="411" t="s">
        <v>1019</v>
      </c>
      <c r="D287" s="416"/>
      <c r="E287" s="416"/>
      <c r="F287" s="417"/>
      <c r="G287" s="418"/>
      <c r="H287" s="420"/>
    </row>
    <row r="288" spans="2:8">
      <c r="B288" s="415">
        <v>1</v>
      </c>
      <c r="C288" s="421" t="s">
        <v>1020</v>
      </c>
      <c r="D288" s="421" t="s">
        <v>1021</v>
      </c>
      <c r="E288" s="421" t="s">
        <v>39</v>
      </c>
      <c r="F288" s="417">
        <v>6</v>
      </c>
      <c r="G288" s="418">
        <v>9.3201610943122648E-5</v>
      </c>
      <c r="H288" s="419">
        <v>8.1445286750289614E-6</v>
      </c>
    </row>
    <row r="289" spans="2:8">
      <c r="B289" s="415">
        <v>2</v>
      </c>
      <c r="C289" s="421" t="s">
        <v>1022</v>
      </c>
      <c r="D289" s="421" t="s">
        <v>1023</v>
      </c>
      <c r="E289" s="421" t="s">
        <v>39</v>
      </c>
      <c r="F289" s="417">
        <v>11</v>
      </c>
      <c r="G289" s="418">
        <v>1.1409590946568144E-6</v>
      </c>
      <c r="H289" s="419">
        <v>9.970400693115065E-8</v>
      </c>
    </row>
    <row r="290" spans="2:8">
      <c r="B290" s="415">
        <v>3</v>
      </c>
      <c r="C290" s="421" t="s">
        <v>1024</v>
      </c>
      <c r="D290" s="421" t="s">
        <v>79</v>
      </c>
      <c r="E290" s="421" t="s">
        <v>39</v>
      </c>
      <c r="F290" s="417">
        <v>7</v>
      </c>
      <c r="G290" s="418">
        <v>6.98546384483764E-7</v>
      </c>
      <c r="H290" s="419">
        <v>6.1043269549684078E-8</v>
      </c>
    </row>
    <row r="291" spans="2:8">
      <c r="B291" s="415">
        <v>4</v>
      </c>
      <c r="C291" s="426" t="s">
        <v>1025</v>
      </c>
      <c r="D291" s="426" t="s">
        <v>1026</v>
      </c>
      <c r="E291" s="426" t="s">
        <v>63</v>
      </c>
      <c r="F291" s="418">
        <v>0</v>
      </c>
      <c r="G291" s="418">
        <v>0</v>
      </c>
      <c r="H291" s="429">
        <v>0</v>
      </c>
    </row>
    <row r="292" spans="2:8">
      <c r="B292" s="415">
        <v>5</v>
      </c>
      <c r="C292" s="426" t="s">
        <v>1027</v>
      </c>
      <c r="D292" s="426" t="s">
        <v>1028</v>
      </c>
      <c r="E292" s="426" t="s">
        <v>63</v>
      </c>
      <c r="F292" s="418">
        <v>0</v>
      </c>
      <c r="G292" s="418">
        <v>0</v>
      </c>
      <c r="H292" s="429">
        <v>0</v>
      </c>
    </row>
    <row r="293" spans="2:8">
      <c r="B293" s="415"/>
      <c r="C293" s="416"/>
      <c r="D293" s="416"/>
      <c r="E293" s="416"/>
      <c r="F293" s="417"/>
      <c r="G293" s="418"/>
      <c r="H293" s="420"/>
    </row>
    <row r="294" spans="2:8">
      <c r="B294" s="415"/>
      <c r="C294" s="411" t="s">
        <v>1029</v>
      </c>
      <c r="D294" s="416"/>
      <c r="E294" s="416"/>
      <c r="F294" s="417"/>
      <c r="G294" s="418"/>
      <c r="H294" s="420"/>
    </row>
    <row r="295" spans="2:8">
      <c r="B295" s="415"/>
      <c r="C295" s="411" t="s">
        <v>1030</v>
      </c>
      <c r="D295" s="416"/>
      <c r="E295" s="416"/>
      <c r="F295" s="417"/>
      <c r="G295" s="418"/>
      <c r="H295" s="420"/>
    </row>
    <row r="296" spans="2:8">
      <c r="B296" s="415"/>
      <c r="C296" s="411" t="s">
        <v>1031</v>
      </c>
      <c r="D296" s="416"/>
      <c r="E296" s="416"/>
      <c r="F296" s="417"/>
      <c r="G296" s="418"/>
      <c r="H296" s="420"/>
    </row>
    <row r="297" spans="2:8">
      <c r="B297" s="415">
        <v>1</v>
      </c>
      <c r="C297" s="423" t="s">
        <v>1032</v>
      </c>
      <c r="D297" s="423" t="s">
        <v>1033</v>
      </c>
      <c r="E297" s="423" t="s">
        <v>1034</v>
      </c>
      <c r="F297" s="417">
        <v>413</v>
      </c>
      <c r="G297" s="418">
        <v>5.504758332123455E-2</v>
      </c>
      <c r="H297" s="419">
        <v>4.8103956177800757E-3</v>
      </c>
    </row>
    <row r="298" spans="2:8">
      <c r="B298" s="415"/>
      <c r="C298" s="416"/>
      <c r="D298" s="416"/>
      <c r="E298" s="416"/>
      <c r="F298" s="417"/>
      <c r="G298" s="418"/>
      <c r="H298" s="420"/>
    </row>
    <row r="299" spans="2:8">
      <c r="B299" s="415"/>
      <c r="C299" s="430" t="s">
        <v>1035</v>
      </c>
      <c r="D299" s="425"/>
      <c r="E299" s="425"/>
      <c r="F299" s="417"/>
      <c r="G299" s="418">
        <v>68.600878825482013</v>
      </c>
      <c r="H299" s="419">
        <v>5.9947657457046715</v>
      </c>
    </row>
    <row r="300" spans="2:8">
      <c r="B300" s="415"/>
      <c r="C300" s="416"/>
      <c r="D300" s="416"/>
      <c r="E300" s="416"/>
      <c r="F300" s="417"/>
      <c r="G300" s="418"/>
      <c r="H300" s="420"/>
    </row>
    <row r="301" spans="2:8">
      <c r="B301" s="415"/>
      <c r="C301" s="411" t="s">
        <v>1036</v>
      </c>
      <c r="D301" s="416"/>
      <c r="E301" s="416"/>
      <c r="F301" s="417"/>
      <c r="G301" s="418"/>
      <c r="H301" s="420"/>
    </row>
    <row r="302" spans="2:8">
      <c r="B302" s="415">
        <v>1</v>
      </c>
      <c r="C302" s="427" t="s">
        <v>1037</v>
      </c>
      <c r="D302" s="428"/>
      <c r="E302" s="428"/>
      <c r="F302" s="417"/>
      <c r="G302" s="418">
        <v>0.93149576263428546</v>
      </c>
      <c r="H302" s="419">
        <v>8.1399815654181293E-2</v>
      </c>
    </row>
    <row r="303" spans="2:8">
      <c r="B303" s="415">
        <v>2</v>
      </c>
      <c r="C303" s="426" t="s">
        <v>1038</v>
      </c>
      <c r="D303" s="426"/>
      <c r="E303" s="426"/>
      <c r="F303" s="417"/>
      <c r="G303" s="418">
        <v>0.74629874036831867</v>
      </c>
      <c r="H303" s="419">
        <v>6.5216163428517215E-2</v>
      </c>
    </row>
    <row r="304" spans="2:8">
      <c r="B304" s="415"/>
      <c r="C304" s="416"/>
      <c r="D304" s="416"/>
      <c r="E304" s="416"/>
      <c r="F304" s="417"/>
      <c r="G304" s="418"/>
      <c r="H304" s="420"/>
    </row>
    <row r="305" spans="2:9">
      <c r="B305" s="415"/>
      <c r="C305" s="411" t="s">
        <v>510</v>
      </c>
      <c r="D305" s="416"/>
      <c r="E305" s="416"/>
      <c r="F305" s="417"/>
      <c r="G305" s="418"/>
      <c r="H305" s="420"/>
    </row>
    <row r="306" spans="2:9">
      <c r="B306" s="415"/>
      <c r="C306" s="411" t="s">
        <v>387</v>
      </c>
      <c r="D306" s="416"/>
      <c r="E306" s="416"/>
      <c r="F306" s="417"/>
      <c r="G306" s="418"/>
      <c r="H306" s="420"/>
      <c r="I306" s="2" t="s">
        <v>1053</v>
      </c>
    </row>
    <row r="307" spans="2:9">
      <c r="B307" s="415">
        <v>1</v>
      </c>
      <c r="C307" s="425" t="s">
        <v>1039</v>
      </c>
      <c r="D307" s="425" t="s">
        <v>1040</v>
      </c>
      <c r="E307" s="428" t="s">
        <v>1041</v>
      </c>
      <c r="F307" s="417">
        <v>248</v>
      </c>
      <c r="G307" s="418">
        <v>7.8708632710980053</v>
      </c>
      <c r="H307" s="419">
        <v>0.68780433041882127</v>
      </c>
    </row>
    <row r="308" spans="2:9">
      <c r="B308" s="415">
        <v>2</v>
      </c>
      <c r="C308" s="423" t="s">
        <v>1042</v>
      </c>
      <c r="D308" s="423" t="s">
        <v>1043</v>
      </c>
      <c r="E308" s="428" t="s">
        <v>1041</v>
      </c>
      <c r="F308" s="417">
        <v>1615</v>
      </c>
      <c r="G308" s="418">
        <v>4.1750642281972992</v>
      </c>
      <c r="H308" s="419">
        <v>0.36484273160677289</v>
      </c>
    </row>
    <row r="309" spans="2:9">
      <c r="B309" s="415">
        <v>3</v>
      </c>
      <c r="C309" s="423" t="s">
        <v>1044</v>
      </c>
      <c r="D309" s="423" t="s">
        <v>1045</v>
      </c>
      <c r="E309" s="428" t="s">
        <v>1041</v>
      </c>
      <c r="F309" s="417">
        <v>1864</v>
      </c>
      <c r="G309" s="418">
        <v>0.50216453210193135</v>
      </c>
      <c r="H309" s="419">
        <v>4.3882218235289788E-2</v>
      </c>
    </row>
    <row r="310" spans="2:9">
      <c r="B310" s="415">
        <v>4</v>
      </c>
      <c r="C310" s="423" t="s">
        <v>1046</v>
      </c>
      <c r="D310" s="423" t="s">
        <v>1047</v>
      </c>
      <c r="E310" s="428" t="s">
        <v>1041</v>
      </c>
      <c r="F310" s="417">
        <v>543</v>
      </c>
      <c r="G310" s="418">
        <v>0.48877336659778747</v>
      </c>
      <c r="H310" s="419">
        <v>4.2712016021648695E-2</v>
      </c>
    </row>
    <row r="311" spans="2:9">
      <c r="B311" s="415">
        <v>5</v>
      </c>
      <c r="C311" s="423" t="s">
        <v>1048</v>
      </c>
      <c r="D311" s="423" t="s">
        <v>1049</v>
      </c>
      <c r="E311" s="428" t="s">
        <v>1041</v>
      </c>
      <c r="F311" s="417">
        <v>22</v>
      </c>
      <c r="G311" s="418">
        <v>0.3668741742604516</v>
      </c>
      <c r="H311" s="419">
        <v>3.2059716588110174E-2</v>
      </c>
    </row>
    <row r="312" spans="2:9">
      <c r="B312" s="415">
        <v>6</v>
      </c>
      <c r="C312" s="427" t="s">
        <v>1050</v>
      </c>
      <c r="D312" s="428" t="s">
        <v>1051</v>
      </c>
      <c r="E312" s="428" t="s">
        <v>1041</v>
      </c>
      <c r="F312" s="417">
        <v>373</v>
      </c>
      <c r="G312" s="418">
        <v>0.34185894488678287</v>
      </c>
      <c r="H312" s="419">
        <v>2.9873732345084534E-2</v>
      </c>
    </row>
    <row r="313" spans="2:9">
      <c r="B313" s="415"/>
      <c r="C313" s="416"/>
      <c r="D313" s="416"/>
      <c r="E313" s="416"/>
      <c r="F313" s="417"/>
      <c r="G313" s="418"/>
      <c r="H313" s="420"/>
    </row>
    <row r="314" spans="2:9">
      <c r="B314" s="415"/>
      <c r="C314" s="430" t="s">
        <v>1052</v>
      </c>
      <c r="D314" s="425"/>
      <c r="E314" s="425"/>
      <c r="F314" s="417"/>
      <c r="G314" s="418">
        <v>14.069018737651325</v>
      </c>
      <c r="H314" s="419">
        <v>1.229437188679583</v>
      </c>
    </row>
    <row r="315" spans="2:9">
      <c r="B315" s="415"/>
      <c r="C315" s="416"/>
      <c r="D315" s="416"/>
      <c r="E315" s="416"/>
      <c r="F315" s="417"/>
      <c r="G315" s="418"/>
      <c r="H315" s="419"/>
    </row>
    <row r="316" spans="2:9" ht="13.5" thickBot="1">
      <c r="B316" s="431"/>
      <c r="C316" s="432" t="s">
        <v>14</v>
      </c>
      <c r="D316" s="433"/>
      <c r="E316" s="433"/>
      <c r="F316" s="434"/>
      <c r="G316" s="435">
        <v>1144.3462803302264</v>
      </c>
      <c r="H316" s="436">
        <v>100</v>
      </c>
    </row>
    <row r="317" spans="2:9">
      <c r="B317" s="437"/>
      <c r="C317" s="437"/>
      <c r="D317" s="437"/>
      <c r="E317" s="437"/>
      <c r="F317" s="438"/>
      <c r="G317" s="439"/>
      <c r="H317" s="440"/>
    </row>
    <row r="318" spans="2:9">
      <c r="B318" s="437"/>
      <c r="C318" s="437"/>
      <c r="D318" s="437"/>
      <c r="E318" s="437"/>
      <c r="F318" s="438"/>
      <c r="G318" s="439"/>
      <c r="H318" s="440"/>
    </row>
    <row r="319" spans="2:9">
      <c r="B319" s="437"/>
      <c r="C319" s="437"/>
      <c r="D319" s="437"/>
      <c r="E319" s="437"/>
      <c r="F319" s="438"/>
      <c r="G319" s="439"/>
      <c r="H319" s="440"/>
    </row>
  </sheetData>
  <sortState ref="A16:G22">
    <sortCondition descending="1" ref="G16:G22"/>
  </sortState>
  <mergeCells count="9">
    <mergeCell ref="B61:H61"/>
    <mergeCell ref="B62:H62"/>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B7" zoomScale="90" zoomScaleNormal="90" workbookViewId="0">
      <selection activeCell="C47" sqref="C47"/>
    </sheetView>
  </sheetViews>
  <sheetFormatPr defaultColWidth="9.140625" defaultRowHeight="12.75"/>
  <cols>
    <col min="1" max="1" width="16.710937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441" t="s">
        <v>0</v>
      </c>
      <c r="C1" s="442"/>
      <c r="D1" s="442"/>
      <c r="E1" s="442"/>
      <c r="F1" s="442"/>
      <c r="G1" s="443"/>
    </row>
    <row r="2" spans="1:7">
      <c r="B2" s="3"/>
      <c r="C2" s="4"/>
      <c r="D2" s="4"/>
      <c r="E2" s="4"/>
      <c r="F2" s="4"/>
      <c r="G2" s="41"/>
    </row>
    <row r="3" spans="1:7" ht="14.25" customHeight="1">
      <c r="B3" s="444" t="s">
        <v>1</v>
      </c>
      <c r="C3" s="445"/>
      <c r="D3" s="445"/>
      <c r="E3" s="445"/>
      <c r="F3" s="445"/>
      <c r="G3" s="446"/>
    </row>
    <row r="4" spans="1:7" ht="15" customHeight="1">
      <c r="B4" s="444" t="s">
        <v>2</v>
      </c>
      <c r="C4" s="445"/>
      <c r="D4" s="445"/>
      <c r="E4" s="445"/>
      <c r="F4" s="445"/>
      <c r="G4" s="446"/>
    </row>
    <row r="5" spans="1:7" ht="15" customHeight="1">
      <c r="B5" s="447" t="s">
        <v>90</v>
      </c>
      <c r="C5" s="448"/>
      <c r="D5" s="448"/>
      <c r="E5" s="448"/>
      <c r="F5" s="448"/>
      <c r="G5" s="449"/>
    </row>
    <row r="6" spans="1:7" ht="15" customHeight="1">
      <c r="B6" s="447"/>
      <c r="C6" s="448"/>
      <c r="D6" s="448"/>
      <c r="E6" s="448"/>
      <c r="F6" s="448"/>
      <c r="G6" s="449"/>
    </row>
    <row r="7" spans="1:7">
      <c r="B7" s="3"/>
      <c r="C7" s="4"/>
      <c r="D7" s="4"/>
      <c r="E7" s="4"/>
      <c r="F7" s="4"/>
      <c r="G7" s="41"/>
    </row>
    <row r="8" spans="1:7" ht="12.75" customHeight="1">
      <c r="B8" s="490" t="s">
        <v>148</v>
      </c>
      <c r="C8" s="491"/>
      <c r="D8" s="491"/>
      <c r="E8" s="491"/>
      <c r="F8" s="491"/>
      <c r="G8" s="492"/>
    </row>
    <row r="9" spans="1:7">
      <c r="B9" s="3"/>
      <c r="C9" s="4"/>
      <c r="D9" s="42"/>
      <c r="E9" s="42"/>
      <c r="F9" s="4"/>
      <c r="G9" s="41"/>
    </row>
    <row r="10" spans="1:7" ht="14.25" customHeight="1">
      <c r="B10" s="475" t="str">
        <f>"Monthly Portfolio Statement of the Quantum Gold Savings Fund for the period ended "&amp;TEXT(Index!C23,"mmmmmmmmmm dd, yyyy")</f>
        <v>Monthly Portfolio Statement of the Quantum Gold Savings Fund for the period ended January 31, 2017</v>
      </c>
      <c r="C10" s="489"/>
      <c r="D10" s="476"/>
      <c r="E10" s="476"/>
      <c r="F10" s="476"/>
      <c r="G10" s="477"/>
    </row>
    <row r="11" spans="1:7" ht="12" customHeight="1" thickBot="1">
      <c r="B11" s="66"/>
      <c r="C11" s="37"/>
      <c r="D11" s="115"/>
      <c r="E11" s="115"/>
      <c r="F11" s="37"/>
      <c r="G11" s="116"/>
    </row>
    <row r="12" spans="1:7" s="238" customFormat="1" ht="24.75" customHeight="1">
      <c r="B12" s="223" t="s">
        <v>30</v>
      </c>
      <c r="C12" s="224" t="s">
        <v>87</v>
      </c>
      <c r="D12" s="225" t="s">
        <v>97</v>
      </c>
      <c r="E12" s="224" t="s">
        <v>5</v>
      </c>
      <c r="F12" s="227" t="s">
        <v>147</v>
      </c>
      <c r="G12" s="228" t="s">
        <v>6</v>
      </c>
    </row>
    <row r="13" spans="1:7">
      <c r="B13" s="46"/>
      <c r="C13" s="47"/>
      <c r="D13" s="127"/>
      <c r="E13" s="47"/>
      <c r="F13" s="47"/>
      <c r="G13" s="48"/>
    </row>
    <row r="14" spans="1:7">
      <c r="A14" s="2" t="s">
        <v>164</v>
      </c>
      <c r="B14" s="46"/>
      <c r="C14" s="49" t="s">
        <v>177</v>
      </c>
      <c r="D14" s="127"/>
      <c r="E14" s="49"/>
      <c r="F14" s="49"/>
      <c r="G14" s="50"/>
    </row>
    <row r="15" spans="1:7">
      <c r="B15" s="46"/>
      <c r="C15" s="49"/>
      <c r="D15" s="127"/>
      <c r="E15" s="49"/>
      <c r="F15" s="49"/>
      <c r="G15" s="50"/>
    </row>
    <row r="16" spans="1:7">
      <c r="A16" s="2" t="s">
        <v>411</v>
      </c>
      <c r="B16" s="46">
        <v>1</v>
      </c>
      <c r="C16" s="10" t="s">
        <v>149</v>
      </c>
      <c r="D16" s="127" t="s">
        <v>137</v>
      </c>
      <c r="E16" s="158">
        <f>+VLOOKUP(A16,Holding!A:I,9,0)</f>
        <v>97666</v>
      </c>
      <c r="F16" s="157">
        <f>+ROUND(+VLOOKUP(A16,Holding!A:R,18,0)/100000,2)</f>
        <v>1277.28</v>
      </c>
      <c r="G16" s="16">
        <f>+ROUND(F16/$F$34,4)</f>
        <v>0.99790000000000001</v>
      </c>
    </row>
    <row r="17" spans="1:7" ht="12" customHeight="1">
      <c r="B17" s="46"/>
      <c r="C17" s="14"/>
      <c r="D17" s="14"/>
      <c r="E17" s="117"/>
      <c r="F17" s="15"/>
      <c r="G17" s="51"/>
    </row>
    <row r="18" spans="1:7" s="24" customFormat="1">
      <c r="B18" s="52"/>
      <c r="C18" s="21" t="s">
        <v>88</v>
      </c>
      <c r="D18" s="21"/>
      <c r="E18" s="118"/>
      <c r="F18" s="53">
        <f>+F16</f>
        <v>1277.28</v>
      </c>
      <c r="G18" s="59">
        <f>+G16</f>
        <v>0.99790000000000001</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230" t="s">
        <v>7</v>
      </c>
      <c r="C22" s="21" t="s">
        <v>8</v>
      </c>
      <c r="D22" s="21"/>
      <c r="E22" s="200" t="s">
        <v>9</v>
      </c>
      <c r="F22" s="200" t="s">
        <v>9</v>
      </c>
      <c r="G22" s="201" t="s">
        <v>9</v>
      </c>
    </row>
    <row r="23" spans="1:7" s="24" customFormat="1">
      <c r="B23" s="230" t="s">
        <v>10</v>
      </c>
      <c r="C23" s="21" t="s">
        <v>11</v>
      </c>
      <c r="D23" s="21"/>
      <c r="E23" s="200" t="s">
        <v>9</v>
      </c>
      <c r="F23" s="200" t="s">
        <v>9</v>
      </c>
      <c r="G23" s="201" t="s">
        <v>9</v>
      </c>
    </row>
    <row r="24" spans="1:7" s="24" customFormat="1">
      <c r="B24" s="230" t="s">
        <v>12</v>
      </c>
      <c r="C24" s="9" t="s">
        <v>13</v>
      </c>
      <c r="D24" s="9"/>
      <c r="E24" s="200" t="s">
        <v>9</v>
      </c>
      <c r="F24" s="200" t="s">
        <v>9</v>
      </c>
      <c r="G24" s="201"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622</v>
      </c>
      <c r="B29" s="56" t="s">
        <v>32</v>
      </c>
      <c r="C29" s="9" t="s">
        <v>82</v>
      </c>
      <c r="D29" s="9"/>
      <c r="E29" s="57"/>
      <c r="F29" s="157">
        <f>+ROUND(+VLOOKUP(A29,Holding!A:R,18,0)/100000,2)</f>
        <v>7.36</v>
      </c>
      <c r="G29" s="59">
        <f>+ROUND(F29/$F$34,4)</f>
        <v>5.7999999999999996E-3</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76">
        <f>+F34-F18-F29</f>
        <v>-4.6999999999999185</v>
      </c>
      <c r="G32" s="59">
        <f>+G34-G18-G29</f>
        <v>-3.7000000000000088E-3</v>
      </c>
    </row>
    <row r="33" spans="1:7">
      <c r="B33" s="46"/>
      <c r="C33" s="21"/>
      <c r="D33" s="21"/>
      <c r="E33" s="21"/>
      <c r="F33" s="15"/>
      <c r="G33" s="51"/>
    </row>
    <row r="34" spans="1:7">
      <c r="A34" s="2" t="s">
        <v>412</v>
      </c>
      <c r="B34" s="46"/>
      <c r="C34" s="119" t="s">
        <v>14</v>
      </c>
      <c r="D34" s="119"/>
      <c r="E34" s="60"/>
      <c r="F34" s="157">
        <f>+ROUND(+VLOOKUP(A34,Holding!A:R,18,0)/100000,2)</f>
        <v>1279.94</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72" t="str">
        <f>"Total Non performing Assets provided for and its percentage to NAV as on "&amp;TEXT(Index!C23,"mmmmmmmmmm dd, yyyy")&amp;" - NIL"</f>
        <v>Total Non performing Assets provided for and its percentage to NAV as on January 31, 2017 - NIL</v>
      </c>
      <c r="D38" s="472"/>
      <c r="E38" s="472"/>
      <c r="F38" s="472"/>
      <c r="G38" s="126"/>
    </row>
    <row r="39" spans="1:7" ht="14.25" customHeight="1">
      <c r="B39" s="33" t="s">
        <v>17</v>
      </c>
      <c r="C39" s="109" t="s">
        <v>36</v>
      </c>
      <c r="D39" s="109"/>
      <c r="E39" s="279"/>
      <c r="F39" s="109"/>
      <c r="G39" s="35"/>
    </row>
    <row r="40" spans="1:7" s="179" customFormat="1" ht="25.5">
      <c r="B40" s="34"/>
      <c r="C40" s="348" t="s">
        <v>20</v>
      </c>
      <c r="D40" s="345" t="str">
        <f>"As on "&amp;TEXT(Index!C24,"mmmmmmmmmm dd, yyyy")&amp;" (Rs.)"</f>
        <v>As on January 31, 2017 (Rs.)</v>
      </c>
      <c r="E40" s="291"/>
      <c r="F40" s="382"/>
      <c r="G40" s="178"/>
    </row>
    <row r="41" spans="1:7">
      <c r="A41" s="2" t="s">
        <v>369</v>
      </c>
      <c r="B41" s="33"/>
      <c r="C41" s="349" t="s">
        <v>21</v>
      </c>
      <c r="D41" s="347">
        <f>+VLOOKUP(A41,Bloomberg!C:E,3,0)</f>
        <v>12.220499999999999</v>
      </c>
      <c r="E41" s="109"/>
      <c r="F41" s="380"/>
      <c r="G41" s="138"/>
    </row>
    <row r="42" spans="1:7">
      <c r="B42" s="63" t="s">
        <v>18</v>
      </c>
      <c r="C42" s="279" t="str">
        <f>"Bonus declared during the period ended "&amp;TEXT(Index!C23,"mmmmmmmmmm dd, yyyy")&amp;" - NIL"</f>
        <v>Bonus declared during the period ended January 31, 2017 - NIL</v>
      </c>
      <c r="D42" s="290"/>
      <c r="E42" s="290"/>
      <c r="F42" s="109"/>
      <c r="G42" s="381"/>
    </row>
    <row r="43" spans="1:7">
      <c r="B43" s="64" t="s">
        <v>23</v>
      </c>
      <c r="C43" s="472" t="str">
        <f>"Total outstanding exposure in derivative instruments as on "&amp;TEXT(Index!C23,"mmmmmmmmmm dd, yyyy")&amp;" - NIL"</f>
        <v>Total outstanding exposure in derivative instruments as on January 31, 2017 - NIL</v>
      </c>
      <c r="D43" s="472"/>
      <c r="E43" s="472"/>
      <c r="F43" s="109"/>
      <c r="G43" s="35"/>
    </row>
    <row r="44" spans="1:7" ht="27" customHeight="1">
      <c r="B44" s="34" t="s">
        <v>24</v>
      </c>
      <c r="C44" s="473" t="str">
        <f>"Total Market value of investments in Foreign Securities/American Depository Receipts/Global Depository Receipts as on "&amp;TEXT(Index!C23,"mmmmmmmmmm dd, yyyy")&amp;" is Rs - NIL"</f>
        <v>Total Market value of investments in Foreign Securities/American Depository Receipts/Global Depository Receipts as on January 31, 2017 is Rs - NIL</v>
      </c>
      <c r="D44" s="473"/>
      <c r="E44" s="473"/>
      <c r="F44" s="473"/>
      <c r="G44" s="35"/>
    </row>
    <row r="45" spans="1:7" ht="12" customHeight="1">
      <c r="B45" s="108" t="s">
        <v>25</v>
      </c>
      <c r="C45" s="109" t="s">
        <v>187</v>
      </c>
      <c r="D45" s="380"/>
      <c r="E45" s="380"/>
      <c r="F45" s="380"/>
      <c r="G45" s="35"/>
    </row>
    <row r="46" spans="1:7">
      <c r="B46" s="108" t="s">
        <v>26</v>
      </c>
      <c r="C46" s="1" t="s">
        <v>627</v>
      </c>
      <c r="D46" s="380"/>
      <c r="E46" s="380"/>
      <c r="F46" s="380"/>
      <c r="G46" s="35"/>
    </row>
    <row r="47" spans="1:7">
      <c r="B47" s="108" t="s">
        <v>27</v>
      </c>
      <c r="C47" s="109" t="s">
        <v>188</v>
      </c>
      <c r="D47" s="380"/>
      <c r="E47" s="380"/>
      <c r="F47" s="380"/>
      <c r="G47" s="35"/>
    </row>
    <row r="48" spans="1:7">
      <c r="B48" s="108" t="s">
        <v>37</v>
      </c>
      <c r="C48" s="109" t="s">
        <v>189</v>
      </c>
      <c r="D48" s="380"/>
      <c r="E48" s="380"/>
      <c r="F48" s="380"/>
      <c r="G48" s="35"/>
    </row>
    <row r="49" spans="2:7">
      <c r="B49" s="108" t="s">
        <v>53</v>
      </c>
      <c r="C49" s="1" t="str">
        <f>"Total Brokerage Paid for Buying/ Selling of Investment for the month ended "&amp;TEXT(Index!C23,"mmmmmmmmmm dd, yyyy")&amp;" is- Rs. 2,719.21/-"</f>
        <v>Total Brokerage Paid for Buying/ Selling of Investment for the month ended January 31, 2017 is- Rs. 2,719.21/-</v>
      </c>
      <c r="D49" s="380"/>
      <c r="E49" s="380"/>
      <c r="F49" s="380"/>
      <c r="G49" s="35"/>
    </row>
    <row r="50" spans="2:7" ht="17.25" customHeight="1">
      <c r="B50" s="108"/>
      <c r="C50" s="109"/>
      <c r="D50" s="380"/>
      <c r="E50" s="380"/>
      <c r="F50" s="380"/>
      <c r="G50" s="35"/>
    </row>
    <row r="51" spans="2:7" ht="17.25" customHeight="1">
      <c r="B51" s="80" t="s">
        <v>47</v>
      </c>
      <c r="C51" s="109" t="s">
        <v>48</v>
      </c>
      <c r="D51" s="380"/>
      <c r="E51" s="380"/>
      <c r="F51" s="380"/>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QLTEF</vt:lpstr>
      <vt:lpstr>QLF</vt:lpstr>
      <vt:lpstr>QDBF</vt:lpstr>
      <vt:lpstr>QGF</vt:lpstr>
      <vt:lpstr>QIF</vt:lpstr>
      <vt:lpstr>QTSF</vt:lpstr>
      <vt:lpstr>QEFOF</vt:lpstr>
      <vt:lpstr>QGSF</vt:lpstr>
      <vt:lpstr>QMAF</vt:lpstr>
      <vt:lpstr>Holding</vt:lpstr>
      <vt:lpstr>Bloomberg</vt:lpstr>
      <vt:lpstr>Index</vt:lpstr>
      <vt:lpstr>QDBF!Print_Area</vt:lpstr>
      <vt:lpstr>QGF!Print_Area</vt:lpstr>
      <vt:lpstr>QLF!Print_Area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John Mirza</cp:lastModifiedBy>
  <cp:lastPrinted>2016-11-03T12:27:24Z</cp:lastPrinted>
  <dcterms:created xsi:type="dcterms:W3CDTF">2011-04-08T11:12:07Z</dcterms:created>
  <dcterms:modified xsi:type="dcterms:W3CDTF">2017-02-14T08:14:40Z</dcterms:modified>
</cp:coreProperties>
</file>